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630" windowHeight="3285"/>
  </bookViews>
  <sheets>
    <sheet name="8.14.11" sheetId="55" r:id="rId1"/>
    <sheet name="Charting" sheetId="22" r:id="rId2"/>
    <sheet name="FoodList" sheetId="4" r:id="rId3"/>
    <sheet name="BMR Guidelines" sheetId="6" r:id="rId4"/>
  </sheets>
  <definedNames>
    <definedName name="FoodList">FoodList!$A$7:$A$44</definedName>
    <definedName name="FoodList1">FoodList!$A$7:$A$26</definedName>
    <definedName name="FoodList2">FoodList!$A$7:$A$26</definedName>
  </definedNames>
  <calcPr calcId="125725"/>
  <fileRecoveryPr repairLoad="1"/>
</workbook>
</file>

<file path=xl/calcChain.xml><?xml version="1.0" encoding="utf-8"?>
<calcChain xmlns="http://schemas.openxmlformats.org/spreadsheetml/2006/main">
  <c r="F3" i="22"/>
  <c r="F2"/>
  <c r="G52" i="4"/>
  <c r="B30" i="55"/>
  <c r="D30"/>
  <c r="E30"/>
  <c r="F30"/>
  <c r="G30"/>
  <c r="H30"/>
  <c r="I30"/>
  <c r="J30"/>
  <c r="B13"/>
  <c r="D13"/>
  <c r="E13"/>
  <c r="F13"/>
  <c r="G13"/>
  <c r="H13"/>
  <c r="I13"/>
  <c r="J13"/>
  <c r="H20"/>
  <c r="J23"/>
  <c r="I23"/>
  <c r="H23"/>
  <c r="G23"/>
  <c r="F23"/>
  <c r="E23"/>
  <c r="D23"/>
  <c r="B23"/>
  <c r="J22"/>
  <c r="I22"/>
  <c r="H22"/>
  <c r="G22"/>
  <c r="F22"/>
  <c r="E22"/>
  <c r="D22"/>
  <c r="B22"/>
  <c r="J21"/>
  <c r="I21"/>
  <c r="H21"/>
  <c r="G21"/>
  <c r="F21"/>
  <c r="E21"/>
  <c r="D21"/>
  <c r="B21"/>
  <c r="I51" i="4"/>
  <c r="J29" i="55"/>
  <c r="I29"/>
  <c r="H29"/>
  <c r="G29"/>
  <c r="F29"/>
  <c r="E29"/>
  <c r="D29"/>
  <c r="B29"/>
  <c r="J28"/>
  <c r="I28"/>
  <c r="H28"/>
  <c r="G28"/>
  <c r="F28"/>
  <c r="E28"/>
  <c r="D28"/>
  <c r="B28"/>
  <c r="J27"/>
  <c r="I27"/>
  <c r="H27"/>
  <c r="G27"/>
  <c r="F27"/>
  <c r="E27"/>
  <c r="D27"/>
  <c r="B27"/>
  <c r="J26"/>
  <c r="I26"/>
  <c r="H26"/>
  <c r="G26"/>
  <c r="F26"/>
  <c r="E26"/>
  <c r="D26"/>
  <c r="B26"/>
  <c r="J25"/>
  <c r="I25"/>
  <c r="H25"/>
  <c r="G25"/>
  <c r="F25"/>
  <c r="E25"/>
  <c r="D25"/>
  <c r="B25"/>
  <c r="J24"/>
  <c r="I24"/>
  <c r="H24"/>
  <c r="G24"/>
  <c r="F24"/>
  <c r="E24"/>
  <c r="D24"/>
  <c r="B24"/>
  <c r="J19"/>
  <c r="I19"/>
  <c r="H19"/>
  <c r="G19"/>
  <c r="F19"/>
  <c r="E19"/>
  <c r="D19"/>
  <c r="B19"/>
  <c r="J18"/>
  <c r="I18"/>
  <c r="H18"/>
  <c r="G18"/>
  <c r="F18"/>
  <c r="E18"/>
  <c r="D18"/>
  <c r="B18"/>
  <c r="J17"/>
  <c r="I17"/>
  <c r="H17"/>
  <c r="G17"/>
  <c r="F17"/>
  <c r="E17"/>
  <c r="D17"/>
  <c r="B17"/>
  <c r="J16"/>
  <c r="I16"/>
  <c r="H16"/>
  <c r="G16"/>
  <c r="F16"/>
  <c r="E16"/>
  <c r="D16"/>
  <c r="B16"/>
  <c r="J15"/>
  <c r="I15"/>
  <c r="H15"/>
  <c r="G15"/>
  <c r="F15"/>
  <c r="E15"/>
  <c r="D15"/>
  <c r="B15"/>
  <c r="J14"/>
  <c r="I14"/>
  <c r="H14"/>
  <c r="G14"/>
  <c r="F14"/>
  <c r="E14"/>
  <c r="D14"/>
  <c r="B14"/>
  <c r="J12"/>
  <c r="I12"/>
  <c r="H12"/>
  <c r="G12"/>
  <c r="F12"/>
  <c r="E12"/>
  <c r="D12"/>
  <c r="B12"/>
  <c r="J11"/>
  <c r="I11"/>
  <c r="H11"/>
  <c r="G11"/>
  <c r="F11"/>
  <c r="E11"/>
  <c r="D11"/>
  <c r="B11"/>
  <c r="J10"/>
  <c r="I10"/>
  <c r="H10"/>
  <c r="G10"/>
  <c r="F10"/>
  <c r="E10"/>
  <c r="D10"/>
  <c r="B10"/>
  <c r="J9"/>
  <c r="I9"/>
  <c r="H9"/>
  <c r="G9"/>
  <c r="F9"/>
  <c r="E9"/>
  <c r="D9"/>
  <c r="B9"/>
  <c r="J8"/>
  <c r="I8"/>
  <c r="H8"/>
  <c r="G8"/>
  <c r="F8"/>
  <c r="E8"/>
  <c r="D8"/>
  <c r="B8"/>
  <c r="G51" i="4"/>
  <c r="I37"/>
  <c r="I35"/>
  <c r="I21"/>
  <c r="I50"/>
  <c r="G35"/>
  <c r="G21"/>
  <c r="G45"/>
  <c r="I45"/>
  <c r="I30"/>
  <c r="I13"/>
  <c r="I41"/>
  <c r="M8" i="55" l="1"/>
  <c r="M14"/>
  <c r="M15"/>
  <c r="M21"/>
  <c r="M22" s="1"/>
  <c r="M13"/>
  <c r="M10"/>
  <c r="M11" s="1"/>
  <c r="M24"/>
  <c r="M18" l="1"/>
  <c r="M19"/>
  <c r="M17"/>
  <c r="I32" i="4"/>
  <c r="I17"/>
  <c r="I16"/>
  <c r="I43"/>
  <c r="I23"/>
  <c r="I22"/>
  <c r="I27"/>
  <c r="I33"/>
  <c r="I28"/>
  <c r="I26"/>
  <c r="I34"/>
  <c r="I12"/>
  <c r="I10"/>
  <c r="I19"/>
  <c r="I48"/>
  <c r="D48"/>
  <c r="I7"/>
  <c r="I25"/>
  <c r="I18"/>
  <c r="I8"/>
  <c r="G26"/>
  <c r="G30"/>
  <c r="G33"/>
  <c r="G32"/>
  <c r="G50"/>
  <c r="G16"/>
  <c r="C15" i="6"/>
  <c r="G44" i="4"/>
  <c r="F5" i="22"/>
  <c r="G41" i="4"/>
  <c r="F24"/>
  <c r="E24"/>
  <c r="D24"/>
  <c r="H24"/>
  <c r="C24"/>
  <c r="G47"/>
  <c r="F40"/>
  <c r="E40"/>
  <c r="D40"/>
  <c r="C40"/>
  <c r="G28"/>
  <c r="G18"/>
  <c r="G39"/>
  <c r="G17"/>
  <c r="G48"/>
  <c r="G29"/>
  <c r="G15"/>
  <c r="G42"/>
  <c r="G38"/>
  <c r="G14"/>
  <c r="G43"/>
  <c r="G49"/>
  <c r="G36"/>
  <c r="G20"/>
  <c r="G23"/>
  <c r="G11"/>
  <c r="E14" i="6"/>
  <c r="E27" s="1"/>
  <c r="M4" s="1"/>
  <c r="M5" s="1"/>
  <c r="C14"/>
  <c r="C27" s="1"/>
  <c r="I4" s="1"/>
  <c r="I5" s="1"/>
  <c r="D4"/>
  <c r="D2"/>
  <c r="G34" i="4"/>
  <c r="G27"/>
  <c r="G7"/>
  <c r="G8"/>
  <c r="G10"/>
  <c r="G12"/>
  <c r="G13"/>
  <c r="G19"/>
  <c r="G22"/>
  <c r="G25"/>
  <c r="G31"/>
  <c r="G37"/>
  <c r="G46"/>
  <c r="G24" l="1"/>
  <c r="G40"/>
  <c r="L9" i="6"/>
  <c r="L17"/>
  <c r="L21" s="1"/>
  <c r="H9"/>
  <c r="H17"/>
  <c r="H21" l="1"/>
  <c r="J17"/>
  <c r="J21" s="1"/>
  <c r="N17"/>
  <c r="N21" s="1"/>
  <c r="J9"/>
  <c r="J13" s="1"/>
  <c r="H13"/>
  <c r="N9"/>
  <c r="N13" s="1"/>
  <c r="L13"/>
  <c r="C2" i="22" l="1"/>
  <c r="D2" s="1"/>
</calcChain>
</file>

<file path=xl/sharedStrings.xml><?xml version="1.0" encoding="utf-8"?>
<sst xmlns="http://schemas.openxmlformats.org/spreadsheetml/2006/main" count="220" uniqueCount="156">
  <si>
    <t>oatmeal</t>
  </si>
  <si>
    <t>egg</t>
  </si>
  <si>
    <t>lentils</t>
  </si>
  <si>
    <t>fib1bar</t>
  </si>
  <si>
    <t>bread</t>
  </si>
  <si>
    <t>banana</t>
  </si>
  <si>
    <t>protein</t>
  </si>
  <si>
    <t>fat</t>
  </si>
  <si>
    <t>carbs</t>
  </si>
  <si>
    <t>chocmilk</t>
  </si>
  <si>
    <t>tuna</t>
  </si>
  <si>
    <t>cup</t>
  </si>
  <si>
    <t>bar</t>
  </si>
  <si>
    <t>whole</t>
  </si>
  <si>
    <t>can</t>
  </si>
  <si>
    <t>fiber</t>
  </si>
  <si>
    <t>calories</t>
  </si>
  <si>
    <t>name</t>
  </si>
  <si>
    <t>carrot</t>
  </si>
  <si>
    <t>large</t>
  </si>
  <si>
    <t>fib1hon</t>
  </si>
  <si>
    <t>skim milk</t>
  </si>
  <si>
    <t>slice</t>
  </si>
  <si>
    <t>brown rice</t>
  </si>
  <si>
    <t>Total Calories:</t>
  </si>
  <si>
    <t>Total Fiber:</t>
  </si>
  <si>
    <t>% Daily Fib:</t>
  </si>
  <si>
    <t>Total Fat Cals:</t>
  </si>
  <si>
    <t>Total Carb Cals:</t>
  </si>
  <si>
    <t>Total Protein Cals:</t>
  </si>
  <si>
    <t>% Fat Cals:</t>
  </si>
  <si>
    <t>% Carb Cals:</t>
  </si>
  <si>
    <t>% Protein Cals:</t>
  </si>
  <si>
    <t>base unit (1)</t>
  </si>
  <si>
    <t>sodium (mg)</t>
  </si>
  <si>
    <t>Total Sodium (mg):</t>
  </si>
  <si>
    <t>% Daily Sodium:</t>
  </si>
  <si>
    <t>notes</t>
  </si>
  <si>
    <t>Weight (lbs):</t>
  </si>
  <si>
    <t/>
  </si>
  <si>
    <t>feet:</t>
  </si>
  <si>
    <t>inches:</t>
  </si>
  <si>
    <t>Height</t>
  </si>
  <si>
    <t>Age:</t>
  </si>
  <si>
    <t>Males:</t>
  </si>
  <si>
    <t>Females:</t>
  </si>
  <si>
    <t>Kilograms:</t>
  </si>
  <si>
    <t>to pounds-&gt;</t>
  </si>
  <si>
    <t>(blank)</t>
  </si>
  <si>
    <t>Centimeters:</t>
  </si>
  <si>
    <t>to inches-&gt;</t>
  </si>
  <si>
    <t>(If converting height enter only inches.  You can type in "0" for feet.)</t>
  </si>
  <si>
    <t>Basal Metabolic Rate:</t>
  </si>
  <si>
    <t>Description</t>
  </si>
  <si>
    <t>Factor</t>
  </si>
  <si>
    <t>Sedentary</t>
  </si>
  <si>
    <t>exercise 1-3 days/wk</t>
  </si>
  <si>
    <t>exercise 3-5 days/wk</t>
  </si>
  <si>
    <t>exercise 6-7 days/wk</t>
  </si>
  <si>
    <t>exercise 6-7 + physical job</t>
  </si>
  <si>
    <t>Harris Benedict Equation:</t>
  </si>
  <si>
    <t>Chosen Factor:</t>
  </si>
  <si>
    <t>Male:</t>
  </si>
  <si>
    <t>Female:</t>
  </si>
  <si>
    <t>Harris Benedict Results:</t>
  </si>
  <si>
    <t>Male Final:</t>
  </si>
  <si>
    <t>From</t>
  </si>
  <si>
    <t>to</t>
  </si>
  <si>
    <t>Remainder is carbs</t>
  </si>
  <si>
    <t>Protein calories range:</t>
  </si>
  <si>
    <t>Protein grams range:</t>
  </si>
  <si>
    <t>Fat grams range:</t>
  </si>
  <si>
    <t>Fat calories range:</t>
  </si>
  <si>
    <t>Female Final:</t>
  </si>
  <si>
    <t>Weight Conversion (if necessary):</t>
  </si>
  <si>
    <t>Height Conversion (if necessary):</t>
  </si>
  <si>
    <t>homeclifbar</t>
  </si>
  <si>
    <t xml:space="preserve">Instructions: Click under "name" to select food from "FoodList."  Highlight cells from "base unit" to the last column and drag directly below to copy for a new line.  Under "portion" add a number to multiple the the "base unit" by based upon how much you consumed.  Add new foods/portions by adding them to the FoodList page.  You can always manually type in a unique food/meal below if you don't wish to add it to the FoodList.  For a new day, "Insert" a new worksheet and copy/paste this entire page.  </t>
  </si>
  <si>
    <t>broccoli</t>
  </si>
  <si>
    <t>chopped cup</t>
  </si>
  <si>
    <t>Instructions: When you edit this list, you must select the entire table and "sort ascending" (the icon with the "AZ" and a down arrow).  To remove a line, right-click the name, then "Delete" and then select "Entire row."  When adding a new line, enter fat, carbs, fiber, and protein information. Click-n-drag from the above "calories" column to automatically calculate the calories.</t>
  </si>
  <si>
    <t>Food</t>
  </si>
  <si>
    <t>Base Unit</t>
  </si>
  <si>
    <t>Portion</t>
  </si>
  <si>
    <t>Fat</t>
  </si>
  <si>
    <t>Carbs</t>
  </si>
  <si>
    <t>Fiber</t>
  </si>
  <si>
    <t>Protein</t>
  </si>
  <si>
    <t>Sodium (mg)</t>
  </si>
  <si>
    <t>Fat Loss Calories:</t>
  </si>
  <si>
    <t>Calories</t>
  </si>
  <si>
    <t>egg white</t>
  </si>
  <si>
    <t>beans</t>
  </si>
  <si>
    <t>clementine</t>
  </si>
  <si>
    <t>natpb</t>
  </si>
  <si>
    <t>1 tbsp</t>
  </si>
  <si>
    <t>raw cup</t>
  </si>
  <si>
    <t>watermelon</t>
  </si>
  <si>
    <t>cashews</t>
  </si>
  <si>
    <t>celery</t>
  </si>
  <si>
    <t>1/2 cup</t>
  </si>
  <si>
    <t>olive oil</t>
  </si>
  <si>
    <t>salt</t>
  </si>
  <si>
    <t>1/8 tsp</t>
  </si>
  <si>
    <t>Cost</t>
  </si>
  <si>
    <t>cost</t>
  </si>
  <si>
    <t>cup chopped</t>
  </si>
  <si>
    <t>cup diced</t>
  </si>
  <si>
    <t>grapes</t>
  </si>
  <si>
    <t>TVP</t>
  </si>
  <si>
    <t>cherrios</t>
  </si>
  <si>
    <t>1 c</t>
  </si>
  <si>
    <t>pineapple</t>
  </si>
  <si>
    <t>chicken</t>
  </si>
  <si>
    <t>1 cup</t>
  </si>
  <si>
    <t>cheese</t>
  </si>
  <si>
    <t>popcorn</t>
  </si>
  <si>
    <t>Waking weight:</t>
  </si>
  <si>
    <t>gatorade</t>
  </si>
  <si>
    <t>1 scoop</t>
  </si>
  <si>
    <t>turkey</t>
  </si>
  <si>
    <t>100 grams</t>
  </si>
  <si>
    <t>fib1-80cal</t>
  </si>
  <si>
    <t>70 g</t>
  </si>
  <si>
    <t>pumpkin seeds</t>
  </si>
  <si>
    <t>1/4 cup</t>
  </si>
  <si>
    <t>Date</t>
  </si>
  <si>
    <t>Weight</t>
  </si>
  <si>
    <t>Days:</t>
  </si>
  <si>
    <t>Weight:</t>
  </si>
  <si>
    <t>Weight/wk:</t>
  </si>
  <si>
    <t>small chocolates</t>
  </si>
  <si>
    <t>1 brick</t>
  </si>
  <si>
    <t>Intake Cal</t>
  </si>
  <si>
    <t>ΔE Calories</t>
  </si>
  <si>
    <t>whey</t>
  </si>
  <si>
    <t>Goal:</t>
  </si>
  <si>
    <t>Jelly</t>
  </si>
  <si>
    <t>ketchup</t>
  </si>
  <si>
    <t>1/2 c chop'd</t>
  </si>
  <si>
    <t>green peas</t>
  </si>
  <si>
    <t>apple</t>
  </si>
  <si>
    <t>100 g</t>
  </si>
  <si>
    <t>fib1card</t>
  </si>
  <si>
    <t>0.25 c dry</t>
  </si>
  <si>
    <t>Cost:</t>
  </si>
  <si>
    <t>1scoop/32g</t>
  </si>
  <si>
    <t>sweet peas</t>
  </si>
  <si>
    <t>dextrose</t>
  </si>
  <si>
    <t>maltodextrin</t>
  </si>
  <si>
    <t>10 g</t>
  </si>
  <si>
    <t>french green beans</t>
  </si>
  <si>
    <t>Tuna</t>
  </si>
  <si>
    <t>kashi cereal</t>
  </si>
  <si>
    <t>cantaloupe</t>
  </si>
  <si>
    <t>(Use "BMR Guidelines" to determine goal)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</si>
</sst>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0" fillId="2" borderId="2" xfId="0" applyFill="1" applyBorder="1"/>
    <xf numFmtId="0" fontId="0" fillId="3" borderId="2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164" fontId="0" fillId="10" borderId="0" xfId="0" applyNumberFormat="1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164" fontId="0" fillId="11" borderId="0" xfId="0" applyNumberFormat="1" applyFill="1" applyAlignment="1">
      <alignment horizontal="center"/>
    </xf>
    <xf numFmtId="2" fontId="0" fillId="0" borderId="0" xfId="0" applyNumberFormat="1"/>
    <xf numFmtId="164" fontId="0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2" fillId="3" borderId="7" xfId="0" applyFont="1" applyFill="1" applyBorder="1" applyAlignment="1"/>
    <xf numFmtId="0" fontId="0" fillId="3" borderId="16" xfId="0" applyFill="1" applyBorder="1" applyAlignment="1"/>
    <xf numFmtId="0" fontId="2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0" fontId="0" fillId="0" borderId="9" xfId="0" applyBorder="1" applyAlignment="1"/>
    <xf numFmtId="0" fontId="2" fillId="5" borderId="7" xfId="0" applyFont="1" applyFill="1" applyBorder="1" applyAlignment="1">
      <alignment horizontal="left"/>
    </xf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2" fillId="4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9" xfId="0" applyFont="1" applyFill="1" applyBorder="1" applyAlignment="1"/>
    <xf numFmtId="0" fontId="2" fillId="2" borderId="7" xfId="0" applyFont="1" applyFill="1" applyBorder="1" applyAlignment="1"/>
    <xf numFmtId="0" fontId="0" fillId="0" borderId="16" xfId="0" applyBorder="1" applyAlignme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4" borderId="9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Weight Loss</a:t>
            </a:r>
            <a:r>
              <a:rPr lang="en-US" baseline="0"/>
              <a:t> over Time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Charting!$A$2:$A$100</c:f>
              <c:numCache>
                <c:formatCode>m/d/yyyy</c:formatCode>
                <c:ptCount val="99"/>
                <c:pt idx="0">
                  <c:v>40706</c:v>
                </c:pt>
              </c:numCache>
            </c:numRef>
          </c:cat>
          <c:val>
            <c:numRef>
              <c:f>Charting!$B$2:$B$100</c:f>
              <c:numCache>
                <c:formatCode>General</c:formatCode>
                <c:ptCount val="99"/>
                <c:pt idx="0">
                  <c:v>173</c:v>
                </c:pt>
              </c:numCache>
            </c:numRef>
          </c:val>
        </c:ser>
        <c:marker val="1"/>
        <c:axId val="33068928"/>
        <c:axId val="33070464"/>
      </c:lineChart>
      <c:lineChart>
        <c:grouping val="standard"/>
        <c:ser>
          <c:idx val="1"/>
          <c:order val="1"/>
          <c:marker>
            <c:symbol val="none"/>
          </c:marker>
          <c:cat>
            <c:numRef>
              <c:f>Charting!$A$2:$A$100</c:f>
              <c:numCache>
                <c:formatCode>m/d/yyyy</c:formatCode>
                <c:ptCount val="99"/>
                <c:pt idx="0">
                  <c:v>40706</c:v>
                </c:pt>
              </c:numCache>
            </c:numRef>
          </c:cat>
          <c:val>
            <c:numRef>
              <c:f>Charting!$D$2:$D$100</c:f>
              <c:numCache>
                <c:formatCode>0</c:formatCode>
                <c:ptCount val="99"/>
                <c:pt idx="0">
                  <c:v>0</c:v>
                </c:pt>
              </c:numCache>
            </c:numRef>
          </c:val>
        </c:ser>
        <c:marker val="1"/>
        <c:axId val="33086848"/>
        <c:axId val="33085312"/>
      </c:lineChart>
      <c:dateAx>
        <c:axId val="33068928"/>
        <c:scaling>
          <c:orientation val="minMax"/>
        </c:scaling>
        <c:axPos val="b"/>
        <c:numFmt formatCode="m/d/yyyy" sourceLinked="1"/>
        <c:majorTickMark val="none"/>
        <c:tickLblPos val="nextTo"/>
        <c:crossAx val="33070464"/>
        <c:crosses val="autoZero"/>
        <c:auto val="1"/>
        <c:lblOffset val="100"/>
      </c:dateAx>
      <c:valAx>
        <c:axId val="330704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Weight (lbs)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33068928"/>
        <c:crosses val="autoZero"/>
        <c:crossBetween val="between"/>
      </c:valAx>
      <c:valAx>
        <c:axId val="33085312"/>
        <c:scaling>
          <c:orientation val="minMax"/>
        </c:scaling>
        <c:axPos val="r"/>
        <c:numFmt formatCode="0" sourceLinked="1"/>
        <c:tickLblPos val="nextTo"/>
        <c:crossAx val="33086848"/>
        <c:crosses val="max"/>
        <c:crossBetween val="between"/>
      </c:valAx>
      <c:dateAx>
        <c:axId val="33086848"/>
        <c:scaling>
          <c:orientation val="minMax"/>
        </c:scaling>
        <c:delete val="1"/>
        <c:axPos val="b"/>
        <c:numFmt formatCode="m/d/yyyy" sourceLinked="1"/>
        <c:tickLblPos val="none"/>
        <c:crossAx val="33085312"/>
        <c:crosses val="autoZero"/>
        <c:auto val="1"/>
        <c:lblOffset val="100"/>
        <c:majorUnit val="1"/>
        <c:minorUnit val="1"/>
      </c:date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76200</xdr:rowOff>
    </xdr:from>
    <xdr:to>
      <xdr:col>18</xdr:col>
      <xdr:colOff>85724</xdr:colOff>
      <xdr:row>24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I13" sqref="I13"/>
    </sheetView>
  </sheetViews>
  <sheetFormatPr defaultRowHeight="15"/>
  <cols>
    <col min="1" max="1" width="18.28515625" bestFit="1" customWidth="1"/>
    <col min="2" max="2" width="11" bestFit="1" customWidth="1"/>
    <col min="9" max="9" width="12.28515625" bestFit="1" customWidth="1"/>
    <col min="12" max="12" width="18" bestFit="1" customWidth="1"/>
    <col min="14" max="14" width="10.5703125" customWidth="1"/>
  </cols>
  <sheetData>
    <row r="1" spans="1:14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58"/>
      <c r="L1" s="29" t="s">
        <v>117</v>
      </c>
      <c r="M1">
        <v>159.80000000000001</v>
      </c>
    </row>
    <row r="2" spans="1:14">
      <c r="A2" s="65"/>
      <c r="B2" s="65"/>
      <c r="C2" s="65"/>
      <c r="D2" s="65"/>
      <c r="E2" s="65"/>
      <c r="F2" s="65"/>
      <c r="G2" s="65"/>
      <c r="H2" s="65"/>
      <c r="I2" s="65"/>
      <c r="J2" s="65"/>
      <c r="K2" s="58"/>
    </row>
    <row r="3" spans="1:14">
      <c r="A3" s="65"/>
      <c r="B3" s="65"/>
      <c r="C3" s="65"/>
      <c r="D3" s="65"/>
      <c r="E3" s="65"/>
      <c r="F3" s="65"/>
      <c r="G3" s="65"/>
      <c r="H3" s="65"/>
      <c r="I3" s="65"/>
      <c r="J3" s="65"/>
      <c r="K3" s="58"/>
    </row>
    <row r="4" spans="1:14">
      <c r="A4" s="65"/>
      <c r="B4" s="65"/>
      <c r="C4" s="65"/>
      <c r="D4" s="65"/>
      <c r="E4" s="65"/>
      <c r="F4" s="65"/>
      <c r="G4" s="65"/>
      <c r="H4" s="65"/>
      <c r="I4" s="65"/>
      <c r="J4" s="65"/>
      <c r="K4" s="58"/>
    </row>
    <row r="5" spans="1:14">
      <c r="A5" s="65"/>
      <c r="B5" s="65"/>
      <c r="C5" s="65"/>
      <c r="D5" s="65"/>
      <c r="E5" s="65"/>
      <c r="F5" s="65"/>
      <c r="G5" s="65"/>
      <c r="H5" s="65"/>
      <c r="I5" s="65"/>
      <c r="J5" s="65"/>
      <c r="K5" s="58"/>
    </row>
    <row r="6" spans="1:14">
      <c r="L6" s="101" t="s">
        <v>155</v>
      </c>
      <c r="M6" s="101"/>
      <c r="N6" s="101"/>
    </row>
    <row r="7" spans="1:14">
      <c r="A7" s="60" t="s">
        <v>81</v>
      </c>
      <c r="B7" s="60" t="s">
        <v>82</v>
      </c>
      <c r="C7" s="27" t="s">
        <v>83</v>
      </c>
      <c r="D7" s="60" t="s">
        <v>84</v>
      </c>
      <c r="E7" s="60" t="s">
        <v>85</v>
      </c>
      <c r="F7" s="60" t="s">
        <v>86</v>
      </c>
      <c r="G7" s="60" t="s">
        <v>87</v>
      </c>
      <c r="H7" s="60" t="s">
        <v>90</v>
      </c>
      <c r="I7" s="60" t="s">
        <v>88</v>
      </c>
      <c r="J7" s="60" t="s">
        <v>104</v>
      </c>
      <c r="K7" s="60"/>
      <c r="L7" s="60" t="s">
        <v>136</v>
      </c>
      <c r="M7">
        <v>2118</v>
      </c>
    </row>
    <row r="8" spans="1:14">
      <c r="A8" s="53" t="s">
        <v>0</v>
      </c>
      <c r="B8" s="53" t="str">
        <f>VLOOKUP(A8,FoodList!$A$6:$G$95,{2},FALSE)</f>
        <v>cup</v>
      </c>
      <c r="C8" s="53">
        <v>0.5</v>
      </c>
      <c r="D8" s="53">
        <f>VLOOKUP(A8,FoodList!$A$6:$G$95,{3},FALSE)*C8</f>
        <v>2.64</v>
      </c>
      <c r="E8" s="53">
        <f>VLOOKUP(A8,FoodList!$A$6:$G$95,{4},FALSE)*C8</f>
        <v>27.5</v>
      </c>
      <c r="F8" s="53">
        <f>VLOOKUP(A8,FoodList!$A$6:$G$95,{5},FALSE)*C8</f>
        <v>4.0999999999999996</v>
      </c>
      <c r="G8" s="53">
        <f>VLOOKUP(A8,FoodList!$A$6:$G$95,{6},FALSE)*C8</f>
        <v>5.3250000000000002</v>
      </c>
      <c r="H8" s="53">
        <f>VLOOKUP(A8,FoodList!$A$6:$G$95,{7},FALSE)*C8</f>
        <v>155.06</v>
      </c>
      <c r="I8" s="53">
        <f>VLOOKUP(A8,FoodList!$A$6:$H$95,{8},FALSE)*C8</f>
        <v>2.5</v>
      </c>
      <c r="J8" s="54">
        <f>VLOOKUP(A8,FoodList!$A$6:$I$95,{9},FALSE)*C8</f>
        <v>9.5769230769230773E-2</v>
      </c>
      <c r="K8" s="59"/>
      <c r="L8" s="3" t="s">
        <v>24</v>
      </c>
      <c r="M8">
        <f>SUM(H8:H39)</f>
        <v>2076.3842000000004</v>
      </c>
    </row>
    <row r="9" spans="1:14">
      <c r="A9" s="53" t="s">
        <v>152</v>
      </c>
      <c r="B9" s="53" t="str">
        <f>VLOOKUP(A9,FoodList!$A$6:$G$95,{2},FALSE)</f>
        <v>can</v>
      </c>
      <c r="C9" s="53">
        <v>1</v>
      </c>
      <c r="D9" s="53">
        <f>VLOOKUP(A9,FoodList!$A$6:$G$95,{3},FALSE)*C9</f>
        <v>2</v>
      </c>
      <c r="E9" s="53">
        <f>VLOOKUP(A9,FoodList!$A$6:$G$95,{4},FALSE)*C9</f>
        <v>0</v>
      </c>
      <c r="F9" s="53">
        <f>VLOOKUP(A9,FoodList!$A$6:$G$95,{5},FALSE)*C9</f>
        <v>0</v>
      </c>
      <c r="G9" s="53">
        <f>VLOOKUP(A9,FoodList!$A$6:$G$95,{6},FALSE)*C9</f>
        <v>24</v>
      </c>
      <c r="H9" s="53">
        <f>VLOOKUP(A9,FoodList!$A$6:$G$95,{7},FALSE)*C9</f>
        <v>114</v>
      </c>
      <c r="I9" s="53">
        <f>VLOOKUP(A9,FoodList!$A$6:$H$95,{8},FALSE)*C9</f>
        <v>100</v>
      </c>
      <c r="J9" s="54">
        <f>VLOOKUP(A9,FoodList!$A$6:$I$95,{9},FALSE)*C9</f>
        <v>0.78</v>
      </c>
      <c r="K9" s="59"/>
      <c r="L9" s="3"/>
    </row>
    <row r="10" spans="1:14">
      <c r="A10" s="53" t="s">
        <v>138</v>
      </c>
      <c r="B10" s="53" t="str">
        <f>VLOOKUP(A10,FoodList!$A$6:$G$95,{2},FALSE)</f>
        <v>1 tbsp</v>
      </c>
      <c r="C10" s="53">
        <v>1</v>
      </c>
      <c r="D10" s="53">
        <f>VLOOKUP(A10,FoodList!$A$6:$G$95,{3},FALSE)*C10</f>
        <v>0</v>
      </c>
      <c r="E10" s="53">
        <f>VLOOKUP(A10,FoodList!$A$6:$G$95,{4},FALSE)*C10</f>
        <v>4</v>
      </c>
      <c r="F10" s="53">
        <f>VLOOKUP(A10,FoodList!$A$6:$G$95,{5},FALSE)*C10</f>
        <v>0</v>
      </c>
      <c r="G10" s="53">
        <f>VLOOKUP(A10,FoodList!$A$6:$G$95,{6},FALSE)*C10</f>
        <v>0</v>
      </c>
      <c r="H10" s="53">
        <f>VLOOKUP(A10,FoodList!$A$6:$G$95,{7},FALSE)*C10</f>
        <v>16</v>
      </c>
      <c r="I10" s="53">
        <f>VLOOKUP(A10,FoodList!$A$6:$H$95,{8},FALSE)*C10</f>
        <v>190</v>
      </c>
      <c r="J10" s="54">
        <f>VLOOKUP(A10,FoodList!$A$6:$I$95,{9},FALSE)*C10</f>
        <v>3.9833333333333339E-2</v>
      </c>
      <c r="K10" s="59"/>
      <c r="L10" s="3" t="s">
        <v>25</v>
      </c>
      <c r="M10">
        <f>SUM(F8:F33)</f>
        <v>63.158999999999999</v>
      </c>
    </row>
    <row r="11" spans="1:14">
      <c r="A11" s="61" t="s">
        <v>3</v>
      </c>
      <c r="B11" s="61" t="str">
        <f>VLOOKUP(A11,FoodList!$A$6:$G$95,{2},FALSE)</f>
        <v>bar</v>
      </c>
      <c r="C11" s="61">
        <v>1</v>
      </c>
      <c r="D11" s="61">
        <f>VLOOKUP(A11,FoodList!$A$6:$G$95,{3},FALSE)*C11</f>
        <v>2</v>
      </c>
      <c r="E11" s="61">
        <f>VLOOKUP(A11,FoodList!$A$6:$G$95,{4},FALSE)*C11</f>
        <v>17</v>
      </c>
      <c r="F11" s="61">
        <f>VLOOKUP(A11,FoodList!$A$6:$G$95,{5},FALSE)*C11</f>
        <v>9</v>
      </c>
      <c r="G11" s="61">
        <f>VLOOKUP(A11,FoodList!$A$6:$G$95,{6},FALSE)*C11</f>
        <v>1</v>
      </c>
      <c r="H11" s="61">
        <f>VLOOKUP(A11,FoodList!$A$6:$G$95,{7},FALSE)*C11</f>
        <v>90</v>
      </c>
      <c r="I11" s="61">
        <f>VLOOKUP(A11,FoodList!$A$6:$H$95,{8},FALSE)*C11</f>
        <v>95</v>
      </c>
      <c r="J11" s="62">
        <f>VLOOKUP(A11,FoodList!$A$6:$I$95,{9},FALSE)*C11</f>
        <v>0.57166666666666666</v>
      </c>
      <c r="K11" s="59"/>
      <c r="L11" s="3" t="s">
        <v>26</v>
      </c>
      <c r="M11">
        <f>(M10/27.5)*100</f>
        <v>229.66909090909093</v>
      </c>
    </row>
    <row r="12" spans="1:14">
      <c r="A12" s="61" t="s">
        <v>154</v>
      </c>
      <c r="B12" s="61" t="str">
        <f>VLOOKUP(A12,FoodList!$A$6:$G$95,{2},FALSE)</f>
        <v>100 g</v>
      </c>
      <c r="C12" s="61">
        <v>1.98</v>
      </c>
      <c r="D12" s="61">
        <f>VLOOKUP(A12,FoodList!$A$6:$G$95,{3},FALSE)*C12</f>
        <v>0.37619999999999998</v>
      </c>
      <c r="E12" s="61">
        <f>VLOOKUP(A12,FoodList!$A$6:$G$95,{4},FALSE)*C12</f>
        <v>16.1568</v>
      </c>
      <c r="F12" s="61">
        <f>VLOOKUP(A12,FoodList!$A$6:$G$95,{5},FALSE)*C12</f>
        <v>1.782</v>
      </c>
      <c r="G12" s="61">
        <f>VLOOKUP(A12,FoodList!$A$6:$G$95,{6},FALSE)*C12</f>
        <v>1.6632</v>
      </c>
      <c r="H12" s="61">
        <f>VLOOKUP(A12,FoodList!$A$6:$G$95,{7},FALSE)*C12</f>
        <v>74.665800000000004</v>
      </c>
      <c r="I12" s="61">
        <f>VLOOKUP(A12,FoodList!$A$6:$H$95,{8},FALSE)*C12</f>
        <v>31.68</v>
      </c>
      <c r="J12" s="62">
        <f>VLOOKUP(A12,FoodList!$A$6:$I$95,{9},FALSE)*C12</f>
        <v>0</v>
      </c>
      <c r="K12" s="59"/>
      <c r="L12" s="3"/>
    </row>
    <row r="13" spans="1:14">
      <c r="A13" s="61" t="s">
        <v>118</v>
      </c>
      <c r="B13" s="61" t="str">
        <f>VLOOKUP(A13,FoodList!$A$6:$G$95,{2},FALSE)</f>
        <v>1 scoop</v>
      </c>
      <c r="C13" s="61">
        <v>1</v>
      </c>
      <c r="D13" s="61">
        <f>VLOOKUP(A13,FoodList!$A$6:$G$95,{3},FALSE)*C13</f>
        <v>0.28000000000000003</v>
      </c>
      <c r="E13" s="61">
        <f>VLOOKUP(A13,FoodList!$A$6:$G$95,{4},FALSE)*C13</f>
        <v>21.65</v>
      </c>
      <c r="F13" s="61">
        <f>VLOOKUP(A13,FoodList!$A$6:$G$95,{5},FALSE)*C13</f>
        <v>0</v>
      </c>
      <c r="G13" s="61">
        <f>VLOOKUP(A13,FoodList!$A$6:$G$95,{6},FALSE)*C13</f>
        <v>0</v>
      </c>
      <c r="H13" s="61">
        <f>VLOOKUP(A13,FoodList!$A$6:$G$95,{7},FALSE)*C13</f>
        <v>89.11999999999999</v>
      </c>
      <c r="I13" s="61">
        <f>VLOOKUP(A13,FoodList!$A$6:$H$95,{8},FALSE)*C13</f>
        <v>14.49</v>
      </c>
      <c r="J13" s="62">
        <f>VLOOKUP(A13,FoodList!$A$6:$I$95,{9},FALSE)*C13</f>
        <v>0.1795714285714286</v>
      </c>
      <c r="K13" s="59"/>
      <c r="L13" s="3" t="s">
        <v>27</v>
      </c>
      <c r="M13">
        <f>SUM(D8:D233)*9</f>
        <v>413.53020000000004</v>
      </c>
    </row>
    <row r="14" spans="1:14">
      <c r="A14" s="61" t="s">
        <v>141</v>
      </c>
      <c r="B14" s="61" t="str">
        <f>VLOOKUP(A14,FoodList!$A$6:$G$95,{2},FALSE)</f>
        <v>100 g</v>
      </c>
      <c r="C14" s="61">
        <v>2.2400000000000002</v>
      </c>
      <c r="D14" s="61">
        <f>VLOOKUP(A14,FoodList!$A$6:$G$95,{3},FALSE)*C14</f>
        <v>0.38080000000000008</v>
      </c>
      <c r="E14" s="61">
        <f>VLOOKUP(A14,FoodList!$A$6:$G$95,{4},FALSE)*C14</f>
        <v>30.934400000000004</v>
      </c>
      <c r="F14" s="61">
        <f>VLOOKUP(A14,FoodList!$A$6:$G$95,{5},FALSE)*C14</f>
        <v>5.3760000000000003</v>
      </c>
      <c r="G14" s="61">
        <f>VLOOKUP(A14,FoodList!$A$6:$G$95,{6},FALSE)*C14</f>
        <v>0.58240000000000003</v>
      </c>
      <c r="H14" s="61">
        <f>VLOOKUP(A14,FoodList!$A$6:$G$95,{7},FALSE)*C14</f>
        <v>129.49440000000001</v>
      </c>
      <c r="I14" s="61">
        <f>VLOOKUP(A14,FoodList!$A$6:$H$95,{8},FALSE)*C14</f>
        <v>0</v>
      </c>
      <c r="J14" s="62">
        <f>VLOOKUP(A14,FoodList!$A$6:$I$95,{9},FALSE)*C14</f>
        <v>0.68732891832229581</v>
      </c>
      <c r="K14" s="59"/>
      <c r="L14" s="3" t="s">
        <v>28</v>
      </c>
      <c r="M14">
        <f>SUM(E8:E33)*4</f>
        <v>1216.2992000000002</v>
      </c>
    </row>
    <row r="15" spans="1:14">
      <c r="A15" s="56" t="s">
        <v>2</v>
      </c>
      <c r="B15" s="56" t="str">
        <f>VLOOKUP(A15,FoodList!$A$6:$G$95,{2},FALSE)</f>
        <v>cup</v>
      </c>
      <c r="C15" s="56">
        <v>0.25</v>
      </c>
      <c r="D15" s="56">
        <f>VLOOKUP(A15,FoodList!$A$6:$G$95,{3},FALSE)*C15</f>
        <v>0.51</v>
      </c>
      <c r="E15" s="56">
        <f>VLOOKUP(A15,FoodList!$A$6:$G$95,{4},FALSE)*C15</f>
        <v>28.837499999999999</v>
      </c>
      <c r="F15" s="56">
        <f>VLOOKUP(A15,FoodList!$A$6:$G$95,{5},FALSE)*C15</f>
        <v>14.65</v>
      </c>
      <c r="G15" s="56">
        <f>VLOOKUP(A15,FoodList!$A$6:$G$95,{6},FALSE)*C15</f>
        <v>12.385</v>
      </c>
      <c r="H15" s="56">
        <f>VLOOKUP(A15,FoodList!$A$6:$G$95,{7},FALSE)*C15</f>
        <v>169.48</v>
      </c>
      <c r="I15" s="56">
        <f>VLOOKUP(A15,FoodList!$A$6:$H$95,{8},FALSE)*C15</f>
        <v>1</v>
      </c>
      <c r="J15" s="57">
        <f>VLOOKUP(A15,FoodList!$A$6:$I$95,{9},FALSE)*C15</f>
        <v>0.15720524017467249</v>
      </c>
      <c r="K15" s="59"/>
      <c r="L15" s="3" t="s">
        <v>29</v>
      </c>
      <c r="M15">
        <f>SUM(G8:G33)*4</f>
        <v>456.05479999999994</v>
      </c>
    </row>
    <row r="16" spans="1:14">
      <c r="A16" s="56" t="s">
        <v>124</v>
      </c>
      <c r="B16" s="56" t="str">
        <f>VLOOKUP(A16,FoodList!$A$6:$G$95,{2},FALSE)</f>
        <v>1/4 cup</v>
      </c>
      <c r="C16" s="56">
        <v>0.75</v>
      </c>
      <c r="D16" s="56">
        <f>VLOOKUP(A16,FoodList!$A$6:$G$95,{3},FALSE)*C16</f>
        <v>11.25</v>
      </c>
      <c r="E16" s="56">
        <f>VLOOKUP(A16,FoodList!$A$6:$G$95,{4},FALSE)*C16</f>
        <v>3</v>
      </c>
      <c r="F16" s="56">
        <f>VLOOKUP(A16,FoodList!$A$6:$G$95,{5},FALSE)*C16</f>
        <v>2.25</v>
      </c>
      <c r="G16" s="56">
        <f>VLOOKUP(A16,FoodList!$A$6:$G$95,{6},FALSE)*C16</f>
        <v>6.75</v>
      </c>
      <c r="H16" s="56">
        <f>VLOOKUP(A16,FoodList!$A$6:$G$95,{7},FALSE)*C16</f>
        <v>140.25</v>
      </c>
      <c r="I16" s="56">
        <f>VLOOKUP(A16,FoodList!$A$6:$H$95,{8},FALSE)*C16</f>
        <v>9</v>
      </c>
      <c r="J16" s="57">
        <f>VLOOKUP(A16,FoodList!$A$6:$I$95,{9},FALSE)*C16</f>
        <v>0.29751655629139073</v>
      </c>
      <c r="K16" s="59"/>
    </row>
    <row r="17" spans="1:13">
      <c r="A17" s="56" t="s">
        <v>151</v>
      </c>
      <c r="B17" s="56" t="str">
        <f>VLOOKUP(A17,FoodList!$A$6:$G$95,{2},FALSE)</f>
        <v>1/2 cup</v>
      </c>
      <c r="C17" s="56">
        <v>1</v>
      </c>
      <c r="D17" s="56">
        <f>VLOOKUP(A17,FoodList!$A$6:$G$95,{3},FALSE)*C17</f>
        <v>0</v>
      </c>
      <c r="E17" s="56">
        <f>VLOOKUP(A17,FoodList!$A$6:$G$95,{4},FALSE)*C17</f>
        <v>4</v>
      </c>
      <c r="F17" s="56">
        <f>VLOOKUP(A17,FoodList!$A$6:$G$95,{5},FALSE)*C17</f>
        <v>1</v>
      </c>
      <c r="G17" s="56">
        <f>VLOOKUP(A17,FoodList!$A$6:$G$95,{6},FALSE)*C17</f>
        <v>2</v>
      </c>
      <c r="H17" s="56">
        <f>VLOOKUP(A17,FoodList!$A$6:$G$95,{7},FALSE)*C17</f>
        <v>24</v>
      </c>
      <c r="I17" s="56">
        <f>VLOOKUP(A17,FoodList!$A$6:$H$95,{8},FALSE)*C17</f>
        <v>400</v>
      </c>
      <c r="J17" s="57">
        <f>VLOOKUP(A17,FoodList!$A$6:$I$95,{9},FALSE)*C17</f>
        <v>0.22571428571428573</v>
      </c>
      <c r="K17" s="59"/>
      <c r="L17" s="3" t="s">
        <v>30</v>
      </c>
      <c r="M17">
        <f>(M13/M8)*100</f>
        <v>19.915880692985429</v>
      </c>
    </row>
    <row r="18" spans="1:13">
      <c r="A18" s="56" t="s">
        <v>3</v>
      </c>
      <c r="B18" s="56" t="str">
        <f>VLOOKUP(A18,FoodList!$A$6:$G$95,{2},FALSE)</f>
        <v>bar</v>
      </c>
      <c r="C18" s="56">
        <v>1</v>
      </c>
      <c r="D18" s="56">
        <f>VLOOKUP(A18,FoodList!$A$6:$G$95,{3},FALSE)*C18</f>
        <v>2</v>
      </c>
      <c r="E18" s="56">
        <f>VLOOKUP(A18,FoodList!$A$6:$G$95,{4},FALSE)*C18</f>
        <v>17</v>
      </c>
      <c r="F18" s="56">
        <f>VLOOKUP(A18,FoodList!$A$6:$G$95,{5},FALSE)*C18</f>
        <v>9</v>
      </c>
      <c r="G18" s="56">
        <f>VLOOKUP(A18,FoodList!$A$6:$G$95,{6},FALSE)*C18</f>
        <v>1</v>
      </c>
      <c r="H18" s="56">
        <f>VLOOKUP(A18,FoodList!$A$6:$G$95,{7},FALSE)*C18</f>
        <v>90</v>
      </c>
      <c r="I18" s="56">
        <f>VLOOKUP(A18,FoodList!$A$6:$H$95,{8},FALSE)*C18</f>
        <v>95</v>
      </c>
      <c r="J18" s="57">
        <f>VLOOKUP(A18,FoodList!$A$6:$I$95,{9},FALSE)*C18</f>
        <v>0.57166666666666666</v>
      </c>
      <c r="K18" s="59"/>
      <c r="L18" s="3" t="s">
        <v>31</v>
      </c>
      <c r="M18">
        <f>(M14/M8)*100</f>
        <v>58.577752614376465</v>
      </c>
    </row>
    <row r="19" spans="1:13">
      <c r="A19" s="49" t="s">
        <v>108</v>
      </c>
      <c r="B19" s="49" t="str">
        <f>VLOOKUP(A19,FoodList!$A$6:$G$95,{2},FALSE)</f>
        <v>cup</v>
      </c>
      <c r="C19" s="49">
        <v>1</v>
      </c>
      <c r="D19" s="49">
        <f>VLOOKUP(A19,FoodList!$A$6:$G$95,{3},FALSE)*C19</f>
        <v>0.32</v>
      </c>
      <c r="E19" s="49">
        <f>VLOOKUP(A19,FoodList!$A$6:$G$95,{4},FALSE)*C19</f>
        <v>15.78</v>
      </c>
      <c r="F19" s="49">
        <f>VLOOKUP(A19,FoodList!$A$6:$G$95,{5},FALSE)*C19</f>
        <v>0.8</v>
      </c>
      <c r="G19" s="49">
        <f>VLOOKUP(A19,FoodList!$A$6:$G$95,{6},FALSE)*C19</f>
        <v>0.57999999999999996</v>
      </c>
      <c r="H19" s="49">
        <f>VLOOKUP(A19,FoodList!$A$6:$G$95,{7},FALSE)*C19</f>
        <v>68.319999999999993</v>
      </c>
      <c r="I19" s="49">
        <f>VLOOKUP(A19,FoodList!$A$6:$H$95,{8},FALSE)*C19</f>
        <v>2</v>
      </c>
      <c r="J19" s="50">
        <f>VLOOKUP(A19,FoodList!$A$6:$I$95,{9},FALSE)*C19</f>
        <v>0</v>
      </c>
      <c r="K19" s="59"/>
      <c r="L19" s="3" t="s">
        <v>32</v>
      </c>
      <c r="M19">
        <f>(M15/M8)*100</f>
        <v>21.963892809432853</v>
      </c>
    </row>
    <row r="20" spans="1:13">
      <c r="A20" s="49" t="s">
        <v>153</v>
      </c>
      <c r="B20" s="49">
        <v>0.75</v>
      </c>
      <c r="C20" s="49">
        <v>1</v>
      </c>
      <c r="D20" s="49">
        <v>1.5</v>
      </c>
      <c r="E20" s="49">
        <v>25</v>
      </c>
      <c r="F20" s="49">
        <v>5</v>
      </c>
      <c r="G20" s="49">
        <v>4</v>
      </c>
      <c r="H20" s="49">
        <f>120</f>
        <v>120</v>
      </c>
      <c r="I20" s="49">
        <v>85</v>
      </c>
      <c r="J20" s="50">
        <v>0</v>
      </c>
      <c r="K20" s="59"/>
    </row>
    <row r="21" spans="1:13">
      <c r="A21" s="53" t="s">
        <v>135</v>
      </c>
      <c r="B21" s="53" t="str">
        <f>VLOOKUP(A21,FoodList!$A$6:$G$95,{2},FALSE)</f>
        <v>1scoop/32g</v>
      </c>
      <c r="C21" s="53">
        <v>1</v>
      </c>
      <c r="D21" s="53">
        <f>VLOOKUP(A21,FoodList!$A$6:$G$95,{3},FALSE)*C21</f>
        <v>2.5</v>
      </c>
      <c r="E21" s="53">
        <f>VLOOKUP(A21,FoodList!$A$6:$G$95,{4},FALSE)*C21</f>
        <v>3</v>
      </c>
      <c r="F21" s="53">
        <f>VLOOKUP(A21,FoodList!$A$6:$G$95,{5},FALSE)*C21</f>
        <v>1</v>
      </c>
      <c r="G21" s="53">
        <f>VLOOKUP(A21,FoodList!$A$6:$G$95,{6},FALSE)*C21</f>
        <v>23</v>
      </c>
      <c r="H21" s="53">
        <f>VLOOKUP(A21,FoodList!$A$6:$G$95,{7},FALSE)*C21</f>
        <v>126.5</v>
      </c>
      <c r="I21" s="53">
        <f>VLOOKUP(A21,FoodList!$A$6:$H$95,{8},FALSE)*C21</f>
        <v>100</v>
      </c>
      <c r="J21" s="54">
        <f>VLOOKUP(A21,FoodList!$A$6:$I$95,{9},FALSE)*C21</f>
        <v>0.64225806451612899</v>
      </c>
      <c r="K21" s="59"/>
      <c r="L21" s="3" t="s">
        <v>35</v>
      </c>
      <c r="M21">
        <f>SUM(I8:I33)</f>
        <v>1749.8100000000002</v>
      </c>
    </row>
    <row r="22" spans="1:13">
      <c r="A22" s="53" t="s">
        <v>148</v>
      </c>
      <c r="B22" s="53" t="str">
        <f>VLOOKUP(A22,FoodList!$A$6:$G$95,{2},FALSE)</f>
        <v>10 g</v>
      </c>
      <c r="C22" s="53">
        <v>1.66</v>
      </c>
      <c r="D22" s="53">
        <f>VLOOKUP(A22,FoodList!$A$6:$G$95,{3},FALSE)*C22</f>
        <v>0</v>
      </c>
      <c r="E22" s="53">
        <f>VLOOKUP(A22,FoodList!$A$6:$G$95,{4},FALSE)*C22</f>
        <v>16.599999999999998</v>
      </c>
      <c r="F22" s="53">
        <f>VLOOKUP(A22,FoodList!$A$6:$G$95,{5},FALSE)*C22</f>
        <v>0</v>
      </c>
      <c r="G22" s="53">
        <f>VLOOKUP(A22,FoodList!$A$6:$G$95,{6},FALSE)*C22</f>
        <v>0</v>
      </c>
      <c r="H22" s="53">
        <f>VLOOKUP(A22,FoodList!$A$6:$G$95,{7},FALSE)*C22</f>
        <v>66.399999999999991</v>
      </c>
      <c r="I22" s="53">
        <f>VLOOKUP(A22,FoodList!$A$6:$H$95,{8},FALSE)*C22</f>
        <v>0</v>
      </c>
      <c r="J22" s="54">
        <f>VLOOKUP(A22,FoodList!$A$6:$I$95,{9},FALSE)*C22</f>
        <v>0.16398898678414098</v>
      </c>
      <c r="K22" s="59"/>
      <c r="L22" s="3" t="s">
        <v>36</v>
      </c>
      <c r="M22">
        <f>(M21/2300)*100</f>
        <v>76.07869565217392</v>
      </c>
    </row>
    <row r="23" spans="1:13">
      <c r="A23" s="53" t="s">
        <v>149</v>
      </c>
      <c r="B23" s="53" t="str">
        <f>VLOOKUP(A23,FoodList!$A$6:$G$95,{2},FALSE)</f>
        <v>10 g</v>
      </c>
      <c r="C23" s="53">
        <v>1.66</v>
      </c>
      <c r="D23" s="53">
        <f>VLOOKUP(A23,FoodList!$A$6:$G$95,{3},FALSE)*C23</f>
        <v>0</v>
      </c>
      <c r="E23" s="53">
        <f>VLOOKUP(A23,FoodList!$A$6:$G$95,{4},FALSE)*C23</f>
        <v>16.599999999999998</v>
      </c>
      <c r="F23" s="53">
        <f>VLOOKUP(A23,FoodList!$A$6:$G$95,{5},FALSE)*C23</f>
        <v>0</v>
      </c>
      <c r="G23" s="53">
        <f>VLOOKUP(A23,FoodList!$A$6:$G$95,{6},FALSE)*C23</f>
        <v>0</v>
      </c>
      <c r="H23" s="53">
        <f>VLOOKUP(A23,FoodList!$A$6:$G$95,{7},FALSE)*C23</f>
        <v>66.399999999999991</v>
      </c>
      <c r="I23" s="53">
        <f>VLOOKUP(A23,FoodList!$A$6:$H$95,{8},FALSE)*C23</f>
        <v>0</v>
      </c>
      <c r="J23" s="54">
        <f>VLOOKUP(A23,FoodList!$A$6:$I$95,{9},FALSE)*C23</f>
        <v>0.20384361233480178</v>
      </c>
      <c r="K23" s="59"/>
    </row>
    <row r="24" spans="1:13">
      <c r="A24" s="51" t="s">
        <v>101</v>
      </c>
      <c r="B24" s="51" t="str">
        <f>VLOOKUP(A24,FoodList!$A$6:$G$95,{2},FALSE)</f>
        <v>1 tbsp</v>
      </c>
      <c r="C24" s="51">
        <v>1</v>
      </c>
      <c r="D24" s="51">
        <f>VLOOKUP(A24,FoodList!$A$6:$G$95,{3},FALSE)*C24</f>
        <v>14</v>
      </c>
      <c r="E24" s="51">
        <f>VLOOKUP(A24,FoodList!$A$6:$G$95,{4},FALSE)*C24</f>
        <v>0</v>
      </c>
      <c r="F24" s="51">
        <f>VLOOKUP(A24,FoodList!$A$6:$G$95,{5},FALSE)*C24</f>
        <v>0</v>
      </c>
      <c r="G24" s="51">
        <f>VLOOKUP(A24,FoodList!$A$6:$G$95,{6},FALSE)*C24</f>
        <v>0</v>
      </c>
      <c r="H24" s="51">
        <f>VLOOKUP(A24,FoodList!$A$6:$G$95,{7},FALSE)*C24</f>
        <v>126</v>
      </c>
      <c r="I24" s="51">
        <f>VLOOKUP(A24,FoodList!$A$6:$H$95,{8},FALSE)*C24</f>
        <v>0</v>
      </c>
      <c r="J24" s="52">
        <f>VLOOKUP(A24,FoodList!$A$6:$I$95,{9},FALSE)*C24</f>
        <v>0</v>
      </c>
      <c r="K24" s="59"/>
      <c r="L24" s="3" t="s">
        <v>145</v>
      </c>
      <c r="M24" s="45">
        <f>SUM(J8:J33)</f>
        <v>5.8202761450700677</v>
      </c>
    </row>
    <row r="25" spans="1:13">
      <c r="A25" s="51" t="s">
        <v>23</v>
      </c>
      <c r="B25" s="51" t="str">
        <f>VLOOKUP(A25,FoodList!$A$6:$G$95,{2},FALSE)</f>
        <v>raw cup</v>
      </c>
      <c r="C25" s="51">
        <v>0.25</v>
      </c>
      <c r="D25" s="51">
        <f>VLOOKUP(A25,FoodList!$A$6:$G$95,{3},FALSE)*C25</f>
        <v>1.35</v>
      </c>
      <c r="E25" s="51">
        <f>VLOOKUP(A25,FoodList!$A$6:$G$95,{4},FALSE)*C25</f>
        <v>35.722499999999997</v>
      </c>
      <c r="F25" s="51">
        <f>VLOOKUP(A25,FoodList!$A$6:$G$95,{5},FALSE)*C25</f>
        <v>1.625</v>
      </c>
      <c r="G25" s="51">
        <f>VLOOKUP(A25,FoodList!$A$6:$G$95,{6},FALSE)*C25</f>
        <v>3.6724999999999999</v>
      </c>
      <c r="H25" s="51">
        <f>VLOOKUP(A25,FoodList!$A$6:$G$95,{7},FALSE)*C25</f>
        <v>169.73</v>
      </c>
      <c r="I25" s="51">
        <f>VLOOKUP(A25,FoodList!$A$6:$H$95,{8},FALSE)*C25</f>
        <v>2.5</v>
      </c>
      <c r="J25" s="52">
        <f>VLOOKUP(A25,FoodList!$A$6:$I$95,{9},FALSE)*C25</f>
        <v>0.15147379912663755</v>
      </c>
    </row>
    <row r="26" spans="1:13">
      <c r="A26" s="51" t="s">
        <v>1</v>
      </c>
      <c r="B26" s="51" t="str">
        <f>VLOOKUP(A26,FoodList!$A$6:$G$95,{2},FALSE)</f>
        <v>large</v>
      </c>
      <c r="C26" s="51">
        <v>1</v>
      </c>
      <c r="D26" s="51">
        <f>VLOOKUP(A26,FoodList!$A$6:$G$95,{3},FALSE)*C26</f>
        <v>4.5</v>
      </c>
      <c r="E26" s="51">
        <f>VLOOKUP(A26,FoodList!$A$6:$G$95,{4},FALSE)*C26</f>
        <v>1</v>
      </c>
      <c r="F26" s="51">
        <f>VLOOKUP(A26,FoodList!$A$6:$G$95,{5},FALSE)*C26</f>
        <v>0</v>
      </c>
      <c r="G26" s="51">
        <f>VLOOKUP(A26,FoodList!$A$6:$G$95,{6},FALSE)*C26</f>
        <v>6</v>
      </c>
      <c r="H26" s="51">
        <f>VLOOKUP(A26,FoodList!$A$6:$G$95,{7},FALSE)*C26</f>
        <v>68.5</v>
      </c>
      <c r="I26" s="51">
        <f>VLOOKUP(A26,FoodList!$A$6:$H$95,{8},FALSE)*C26</f>
        <v>71</v>
      </c>
      <c r="J26" s="52">
        <f>VLOOKUP(A26,FoodList!$A$6:$I$95,{9},FALSE)*C26</f>
        <v>0.12416666666666666</v>
      </c>
    </row>
    <row r="27" spans="1:13">
      <c r="A27" s="51" t="s">
        <v>91</v>
      </c>
      <c r="B27" s="51" t="str">
        <f>VLOOKUP(A27,FoodList!$A$6:$G$95,{2},FALSE)</f>
        <v>large</v>
      </c>
      <c r="C27" s="51">
        <v>2</v>
      </c>
      <c r="D27" s="51">
        <f>VLOOKUP(A27,FoodList!$A$6:$G$95,{3},FALSE)*C27</f>
        <v>0.12</v>
      </c>
      <c r="E27" s="51">
        <f>VLOOKUP(A27,FoodList!$A$6:$G$95,{4},FALSE)*C27</f>
        <v>0.48</v>
      </c>
      <c r="F27" s="51">
        <f>VLOOKUP(A27,FoodList!$A$6:$G$95,{5},FALSE)*C27</f>
        <v>0</v>
      </c>
      <c r="G27" s="51">
        <f>VLOOKUP(A27,FoodList!$A$6:$G$95,{6},FALSE)*C27</f>
        <v>7.2</v>
      </c>
      <c r="H27" s="51">
        <f>VLOOKUP(A27,FoodList!$A$6:$G$95,{7},FALSE)*C27</f>
        <v>31.8</v>
      </c>
      <c r="I27" s="51">
        <f>VLOOKUP(A27,FoodList!$A$6:$H$95,{8},FALSE)*C27</f>
        <v>110</v>
      </c>
      <c r="J27" s="52">
        <f>VLOOKUP(A27,FoodList!$A$6:$I$95,{9},FALSE)*C27</f>
        <v>0.24833333333333332</v>
      </c>
    </row>
    <row r="28" spans="1:13">
      <c r="A28" s="51" t="s">
        <v>151</v>
      </c>
      <c r="B28" s="51" t="str">
        <f>VLOOKUP(A28,FoodList!$A$6:$G$95,{2},FALSE)</f>
        <v>1/2 cup</v>
      </c>
      <c r="C28" s="51">
        <v>1</v>
      </c>
      <c r="D28" s="51">
        <f>VLOOKUP(A28,FoodList!$A$6:$G$95,{3},FALSE)*C28</f>
        <v>0</v>
      </c>
      <c r="E28" s="51">
        <f>VLOOKUP(A28,FoodList!$A$6:$G$95,{4},FALSE)*C28</f>
        <v>4</v>
      </c>
      <c r="F28" s="51">
        <f>VLOOKUP(A28,FoodList!$A$6:$G$95,{5},FALSE)*C28</f>
        <v>1</v>
      </c>
      <c r="G28" s="51">
        <f>VLOOKUP(A28,FoodList!$A$6:$G$95,{6},FALSE)*C28</f>
        <v>2</v>
      </c>
      <c r="H28" s="51">
        <f>VLOOKUP(A28,FoodList!$A$6:$G$95,{7},FALSE)*C28</f>
        <v>24</v>
      </c>
      <c r="I28" s="51">
        <f>VLOOKUP(A28,FoodList!$A$6:$H$95,{8},FALSE)*C28</f>
        <v>400</v>
      </c>
      <c r="J28" s="52">
        <f>VLOOKUP(A28,FoodList!$A$6:$I$95,{9},FALSE)*C28</f>
        <v>0.22571428571428573</v>
      </c>
    </row>
    <row r="29" spans="1:13">
      <c r="A29" s="51" t="s">
        <v>18</v>
      </c>
      <c r="B29" s="51" t="str">
        <f>VLOOKUP(A29,FoodList!$A$6:$G$95,{2},FALSE)</f>
        <v>100 g</v>
      </c>
      <c r="C29" s="51">
        <v>0.92</v>
      </c>
      <c r="D29" s="51">
        <f>VLOOKUP(A29,FoodList!$A$6:$G$95,{3},FALSE)*C29</f>
        <v>0.2208</v>
      </c>
      <c r="E29" s="51">
        <f>VLOOKUP(A29,FoodList!$A$6:$G$95,{4},FALSE)*C29</f>
        <v>8.813600000000001</v>
      </c>
      <c r="F29" s="51">
        <f>VLOOKUP(A29,FoodList!$A$6:$G$95,{5},FALSE)*C29</f>
        <v>2.5760000000000001</v>
      </c>
      <c r="G29" s="51">
        <f>VLOOKUP(A29,FoodList!$A$6:$G$95,{6},FALSE)*C29</f>
        <v>0.85560000000000003</v>
      </c>
      <c r="H29" s="51">
        <f>VLOOKUP(A29,FoodList!$A$6:$G$95,{7},FALSE)*C29</f>
        <v>40.664000000000001</v>
      </c>
      <c r="I29" s="51">
        <f>VLOOKUP(A29,FoodList!$A$6:$H$95,{8},FALSE)*C29</f>
        <v>38.64</v>
      </c>
      <c r="J29" s="52">
        <f>VLOOKUP(A29,FoodList!$A$6:$I$95,{9},FALSE)*C29</f>
        <v>0.19149779735682818</v>
      </c>
    </row>
    <row r="30" spans="1:13">
      <c r="A30" s="51" t="s">
        <v>109</v>
      </c>
      <c r="B30" s="51" t="str">
        <f>VLOOKUP(A30,FoodList!$A$6:$G$95,{2},FALSE)</f>
        <v>0.25 c dry</v>
      </c>
      <c r="C30" s="51">
        <v>1</v>
      </c>
      <c r="D30" s="51">
        <f>VLOOKUP(A30,FoodList!$A$6:$G$95,{3},FALSE)*C30</f>
        <v>0</v>
      </c>
      <c r="E30" s="51">
        <f>VLOOKUP(A30,FoodList!$A$6:$G$95,{4},FALSE)*C30</f>
        <v>7</v>
      </c>
      <c r="F30" s="51">
        <f>VLOOKUP(A30,FoodList!$A$6:$G$95,{5},FALSE)*C30</f>
        <v>4</v>
      </c>
      <c r="G30" s="51">
        <f>VLOOKUP(A30,FoodList!$A$6:$G$95,{6},FALSE)*C30</f>
        <v>12</v>
      </c>
      <c r="H30" s="51">
        <f>VLOOKUP(A30,FoodList!$A$6:$G$95,{7},FALSE)*C30</f>
        <v>76</v>
      </c>
      <c r="I30" s="51">
        <f>VLOOKUP(A30,FoodList!$A$6:$H$95,{8},FALSE)*C30</f>
        <v>2</v>
      </c>
      <c r="J30" s="52">
        <f>VLOOKUP(A30,FoodList!$A$6:$I$95,{9},FALSE)*C30</f>
        <v>0.26272727272727275</v>
      </c>
    </row>
  </sheetData>
  <mergeCells count="2">
    <mergeCell ref="A1:J5"/>
    <mergeCell ref="L6:N6"/>
  </mergeCells>
  <dataValidations count="1">
    <dataValidation type="list" allowBlank="1" showInputMessage="1" showErrorMessage="1" sqref="A19 A21:A30 A8:A16">
      <formula1>FoodList!A7:A96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D10" sqref="D10"/>
    </sheetView>
  </sheetViews>
  <sheetFormatPr defaultRowHeight="15"/>
  <cols>
    <col min="1" max="1" width="9.7109375" bestFit="1" customWidth="1"/>
    <col min="3" max="3" width="9.7109375" style="39" bestFit="1" customWidth="1"/>
    <col min="4" max="4" width="11.42578125" bestFit="1" customWidth="1"/>
    <col min="5" max="5" width="11.42578125" customWidth="1"/>
    <col min="6" max="6" width="12" bestFit="1" customWidth="1"/>
  </cols>
  <sheetData>
    <row r="1" spans="1:6">
      <c r="A1" s="27" t="s">
        <v>126</v>
      </c>
      <c r="B1" s="27" t="s">
        <v>127</v>
      </c>
      <c r="C1" s="27" t="s">
        <v>133</v>
      </c>
      <c r="D1" s="27" t="s">
        <v>134</v>
      </c>
    </row>
    <row r="2" spans="1:6">
      <c r="A2" s="37">
        <v>40706</v>
      </c>
      <c r="B2" s="35">
        <v>173</v>
      </c>
      <c r="C2" s="41" t="e">
        <f>AVERAGE(C$13:C$19)</f>
        <v>#DIV/0!</v>
      </c>
      <c r="D2" s="41" t="e">
        <f>C2-((655+(6.23*B2)+4.7*(69)-(6.8*23))*'BMR Guidelines'!$C$24)</f>
        <v>#DIV/0!</v>
      </c>
      <c r="E2" t="s">
        <v>128</v>
      </c>
      <c r="F2" s="63">
        <f>A2-A2</f>
        <v>0</v>
      </c>
    </row>
    <row r="3" spans="1:6">
      <c r="A3" s="37"/>
      <c r="B3" s="35"/>
      <c r="C3" s="41"/>
      <c r="D3" s="41"/>
      <c r="E3" t="s">
        <v>129</v>
      </c>
      <c r="F3">
        <f>B22-B2</f>
        <v>-173</v>
      </c>
    </row>
    <row r="4" spans="1:6">
      <c r="A4" s="37"/>
      <c r="B4" s="35"/>
      <c r="C4" s="41"/>
      <c r="D4" s="41"/>
    </row>
    <row r="5" spans="1:6">
      <c r="A5" s="37"/>
      <c r="B5" s="35"/>
      <c r="C5" s="41"/>
      <c r="D5" s="41"/>
      <c r="E5" t="s">
        <v>130</v>
      </c>
      <c r="F5" t="e">
        <f>(F3/F2)*7</f>
        <v>#DIV/0!</v>
      </c>
    </row>
    <row r="6" spans="1:6">
      <c r="A6" s="37"/>
      <c r="B6" s="35"/>
      <c r="C6" s="41"/>
      <c r="D6" s="41"/>
    </row>
    <row r="7" spans="1:6">
      <c r="A7" s="37"/>
      <c r="B7" s="35"/>
      <c r="C7" s="41"/>
      <c r="D7" s="41"/>
    </row>
    <row r="8" spans="1:6">
      <c r="A8" s="37"/>
      <c r="B8" s="35"/>
      <c r="C8" s="41"/>
      <c r="D8" s="41"/>
    </row>
    <row r="9" spans="1:6">
      <c r="A9" s="37"/>
      <c r="B9" s="35"/>
      <c r="C9" s="41"/>
      <c r="D9" s="41"/>
    </row>
    <row r="10" spans="1:6">
      <c r="A10" s="37"/>
      <c r="B10" s="35"/>
      <c r="C10" s="41"/>
      <c r="D10" s="41"/>
    </row>
    <row r="11" spans="1:6">
      <c r="A11" s="37"/>
      <c r="B11" s="35"/>
      <c r="C11" s="41"/>
      <c r="D11" s="41"/>
    </row>
    <row r="12" spans="1:6">
      <c r="A12" s="37"/>
      <c r="B12" s="35"/>
      <c r="C12" s="41"/>
      <c r="D12" s="41"/>
    </row>
    <row r="13" spans="1:6">
      <c r="A13" s="37"/>
      <c r="B13" s="39"/>
      <c r="C13" s="41"/>
      <c r="D13" s="41"/>
    </row>
    <row r="14" spans="1:6">
      <c r="A14" s="38"/>
      <c r="B14" s="35"/>
      <c r="C14" s="41"/>
      <c r="D14" s="41"/>
    </row>
    <row r="15" spans="1:6">
      <c r="A15" s="38"/>
      <c r="B15" s="35"/>
      <c r="C15" s="41"/>
      <c r="D15" s="41"/>
    </row>
    <row r="16" spans="1:6">
      <c r="A16" s="38"/>
      <c r="B16" s="35"/>
      <c r="C16" s="41"/>
      <c r="D16" s="41"/>
    </row>
    <row r="17" spans="1:4">
      <c r="A17" s="38"/>
      <c r="B17" s="35"/>
      <c r="C17" s="41"/>
      <c r="D17" s="41"/>
    </row>
    <row r="18" spans="1:4">
      <c r="A18" s="38"/>
      <c r="B18" s="35"/>
      <c r="C18" s="41"/>
      <c r="D18" s="41"/>
    </row>
    <row r="19" spans="1:4">
      <c r="A19" s="38"/>
      <c r="B19" s="35"/>
      <c r="C19" s="41"/>
      <c r="D19" s="41"/>
    </row>
    <row r="20" spans="1:4">
      <c r="A20" s="38"/>
      <c r="B20" s="36"/>
      <c r="C20" s="41"/>
      <c r="D20" s="41"/>
    </row>
    <row r="21" spans="1:4">
      <c r="A21" s="38"/>
      <c r="B21" s="39"/>
      <c r="C21" s="41"/>
      <c r="D21" s="41"/>
    </row>
    <row r="22" spans="1:4">
      <c r="A22" s="38"/>
      <c r="B22" s="40"/>
      <c r="C22" s="41"/>
      <c r="D22" s="41"/>
    </row>
    <row r="23" spans="1:4">
      <c r="A23" s="38"/>
      <c r="B23" s="40"/>
      <c r="C23" s="41"/>
      <c r="D23" s="41"/>
    </row>
    <row r="24" spans="1:4">
      <c r="A24" s="38"/>
      <c r="B24" s="40"/>
      <c r="C24" s="41"/>
      <c r="D24" s="41"/>
    </row>
    <row r="25" spans="1:4">
      <c r="A25" s="38"/>
      <c r="B25" s="40"/>
      <c r="C25" s="41"/>
      <c r="D25" s="41"/>
    </row>
    <row r="26" spans="1:4">
      <c r="A26" s="38"/>
      <c r="B26" s="40"/>
      <c r="C26" s="41"/>
      <c r="D26" s="41"/>
    </row>
    <row r="27" spans="1:4">
      <c r="A27" s="38"/>
      <c r="B27" s="42"/>
      <c r="C27" s="41"/>
      <c r="D27" s="41"/>
    </row>
    <row r="28" spans="1:4">
      <c r="A28" s="38"/>
      <c r="B28" s="42"/>
      <c r="C28" s="41"/>
      <c r="D28" s="41"/>
    </row>
    <row r="29" spans="1:4">
      <c r="A29" s="38"/>
      <c r="B29" s="42"/>
      <c r="C29" s="41"/>
      <c r="D29" s="41"/>
    </row>
    <row r="30" spans="1:4">
      <c r="A30" s="38"/>
      <c r="B30" s="42"/>
      <c r="C30" s="41"/>
      <c r="D30" s="41"/>
    </row>
    <row r="31" spans="1:4">
      <c r="A31" s="38"/>
      <c r="B31" s="42"/>
      <c r="C31" s="41"/>
      <c r="D31" s="41"/>
    </row>
    <row r="32" spans="1:4">
      <c r="A32" s="38"/>
      <c r="B32" s="42"/>
      <c r="C32" s="41"/>
      <c r="D32" s="41"/>
    </row>
    <row r="33" spans="1:4">
      <c r="A33" s="38"/>
      <c r="B33" s="42"/>
      <c r="C33" s="41"/>
      <c r="D33" s="41"/>
    </row>
    <row r="34" spans="1:4">
      <c r="A34" s="38"/>
      <c r="B34" s="42"/>
      <c r="C34" s="41"/>
      <c r="D34" s="41"/>
    </row>
    <row r="35" spans="1:4">
      <c r="A35" s="38"/>
      <c r="B35" s="42"/>
      <c r="C35" s="41"/>
      <c r="D35" s="41"/>
    </row>
    <row r="36" spans="1:4">
      <c r="A36" s="38"/>
      <c r="B36" s="43"/>
      <c r="C36" s="41"/>
      <c r="D36" s="41"/>
    </row>
    <row r="37" spans="1:4">
      <c r="A37" s="38"/>
      <c r="B37" s="43"/>
      <c r="C37" s="41"/>
      <c r="D37" s="41"/>
    </row>
    <row r="38" spans="1:4">
      <c r="A38" s="38"/>
      <c r="B38" s="43"/>
      <c r="C38" s="41"/>
      <c r="D38" s="41"/>
    </row>
    <row r="39" spans="1:4">
      <c r="A39" s="38"/>
      <c r="B39" s="43"/>
      <c r="C39" s="41"/>
      <c r="D39" s="41"/>
    </row>
    <row r="40" spans="1:4">
      <c r="A40" s="38"/>
      <c r="B40" s="43"/>
      <c r="C40" s="41"/>
      <c r="D40" s="41"/>
    </row>
    <row r="41" spans="1:4">
      <c r="A41" s="38"/>
      <c r="B41" s="44"/>
      <c r="C41" s="41"/>
      <c r="D41" s="41"/>
    </row>
    <row r="42" spans="1:4">
      <c r="A42" s="38"/>
      <c r="B42" s="55"/>
      <c r="C42" s="41"/>
      <c r="D42" s="41"/>
    </row>
    <row r="43" spans="1:4">
      <c r="A43" s="38"/>
      <c r="B43" s="55"/>
      <c r="C43" s="41"/>
      <c r="D43" s="41"/>
    </row>
    <row r="44" spans="1:4">
      <c r="A44" s="38"/>
      <c r="B44" s="55"/>
      <c r="C44" s="41"/>
      <c r="D44" s="41"/>
    </row>
    <row r="45" spans="1:4">
      <c r="A45" s="38"/>
      <c r="B45" s="55"/>
      <c r="C45" s="41"/>
      <c r="D45" s="41"/>
    </row>
    <row r="46" spans="1:4">
      <c r="A46" s="38"/>
      <c r="B46" s="55"/>
      <c r="C46" s="41"/>
      <c r="D46" s="41"/>
    </row>
    <row r="47" spans="1:4">
      <c r="A47" s="38"/>
      <c r="B47" s="55"/>
      <c r="C47" s="41"/>
      <c r="D47" s="41"/>
    </row>
    <row r="48" spans="1:4">
      <c r="A48" s="38"/>
      <c r="B48" s="55"/>
      <c r="C48" s="41"/>
      <c r="D48" s="41"/>
    </row>
    <row r="49" spans="1:4">
      <c r="A49" s="38"/>
      <c r="B49" s="55"/>
      <c r="C49" s="41"/>
      <c r="D49" s="41"/>
    </row>
    <row r="50" spans="1:4">
      <c r="A50" s="38"/>
      <c r="B50" s="59"/>
      <c r="C50" s="41"/>
      <c r="D50" s="41"/>
    </row>
    <row r="51" spans="1:4">
      <c r="A51" s="38"/>
      <c r="B51" s="59"/>
      <c r="C51" s="41"/>
      <c r="D51" s="41"/>
    </row>
    <row r="52" spans="1:4">
      <c r="A52" s="38"/>
      <c r="B52" s="59"/>
      <c r="C52" s="41"/>
      <c r="D52" s="41"/>
    </row>
    <row r="53" spans="1:4">
      <c r="A53" s="38"/>
      <c r="B53" s="59"/>
      <c r="C53" s="41"/>
      <c r="D53" s="41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pane ySplit="6" topLeftCell="A31" activePane="bottomLeft" state="frozen"/>
      <selection pane="bottomLeft" activeCell="A53" sqref="A53"/>
    </sheetView>
  </sheetViews>
  <sheetFormatPr defaultRowHeight="15"/>
  <cols>
    <col min="1" max="1" width="18.28515625" bestFit="1" customWidth="1"/>
    <col min="2" max="2" width="12" bestFit="1" customWidth="1"/>
    <col min="3" max="3" width="11" bestFit="1" customWidth="1"/>
    <col min="4" max="4" width="11.85546875" bestFit="1" customWidth="1"/>
    <col min="7" max="7" width="10.85546875" customWidth="1"/>
    <col min="8" max="8" width="12.140625" bestFit="1" customWidth="1"/>
  </cols>
  <sheetData>
    <row r="1" spans="1:10">
      <c r="A1" s="65" t="s">
        <v>80</v>
      </c>
      <c r="B1" s="65"/>
      <c r="C1" s="65"/>
      <c r="D1" s="65"/>
      <c r="E1" s="65"/>
      <c r="F1" s="65"/>
      <c r="G1" s="65"/>
      <c r="H1" s="65"/>
    </row>
    <row r="2" spans="1:10">
      <c r="A2" s="65"/>
      <c r="B2" s="65"/>
      <c r="C2" s="65"/>
      <c r="D2" s="65"/>
      <c r="E2" s="65"/>
      <c r="F2" s="65"/>
      <c r="G2" s="65"/>
      <c r="H2" s="65"/>
    </row>
    <row r="3" spans="1:10">
      <c r="A3" s="65"/>
      <c r="B3" s="65"/>
      <c r="C3" s="65"/>
      <c r="D3" s="65"/>
      <c r="E3" s="65"/>
      <c r="F3" s="65"/>
      <c r="G3" s="65"/>
      <c r="H3" s="65"/>
    </row>
    <row r="4" spans="1:10">
      <c r="A4" s="65"/>
      <c r="B4" s="65"/>
      <c r="C4" s="65"/>
      <c r="D4" s="65"/>
      <c r="E4" s="65"/>
      <c r="F4" s="65"/>
      <c r="G4" s="65"/>
      <c r="H4" s="65"/>
    </row>
    <row r="6" spans="1:10">
      <c r="A6" s="2" t="s">
        <v>17</v>
      </c>
      <c r="B6" s="2" t="s">
        <v>33</v>
      </c>
      <c r="C6" s="2" t="s">
        <v>7</v>
      </c>
      <c r="D6" s="2" t="s">
        <v>8</v>
      </c>
      <c r="E6" s="2" t="s">
        <v>15</v>
      </c>
      <c r="F6" s="2" t="s">
        <v>6</v>
      </c>
      <c r="G6" s="2" t="s">
        <v>16</v>
      </c>
      <c r="H6" s="2" t="s">
        <v>34</v>
      </c>
      <c r="I6" s="26" t="s">
        <v>105</v>
      </c>
      <c r="J6" s="2" t="s">
        <v>37</v>
      </c>
    </row>
    <row r="7" spans="1:10">
      <c r="A7" s="40" t="s">
        <v>141</v>
      </c>
      <c r="B7" s="40" t="s">
        <v>142</v>
      </c>
      <c r="C7" s="1">
        <v>0.17</v>
      </c>
      <c r="D7" s="1">
        <v>13.81</v>
      </c>
      <c r="E7" s="1">
        <v>2.4</v>
      </c>
      <c r="F7" s="1">
        <v>0.26</v>
      </c>
      <c r="G7" s="1">
        <f>C7*9+D7*4+F7*4</f>
        <v>57.81</v>
      </c>
      <c r="H7" s="1">
        <v>0</v>
      </c>
      <c r="I7" s="46">
        <f>1.39/4.53</f>
        <v>0.30684326710816773</v>
      </c>
    </row>
    <row r="8" spans="1:10">
      <c r="A8" s="1" t="s">
        <v>5</v>
      </c>
      <c r="B8" s="40" t="s">
        <v>121</v>
      </c>
      <c r="C8" s="1">
        <v>0.33</v>
      </c>
      <c r="D8" s="1">
        <v>22.84</v>
      </c>
      <c r="E8" s="1">
        <v>2.6</v>
      </c>
      <c r="F8" s="1">
        <v>1.0900000000000001</v>
      </c>
      <c r="G8" s="1">
        <f>C8*9+D8*4+F8*4</f>
        <v>98.69</v>
      </c>
      <c r="H8" s="1">
        <v>1</v>
      </c>
      <c r="I8" s="46">
        <f>1.67/4.53</f>
        <v>0.36865342163355402</v>
      </c>
    </row>
    <row r="9" spans="1:10">
      <c r="A9" s="1" t="s">
        <v>92</v>
      </c>
      <c r="B9" s="24" t="s">
        <v>11</v>
      </c>
      <c r="C9" s="1">
        <v>0</v>
      </c>
      <c r="D9" s="1">
        <v>92</v>
      </c>
      <c r="E9" s="1">
        <v>60</v>
      </c>
      <c r="F9" s="1">
        <v>36</v>
      </c>
      <c r="G9" s="1">
        <v>280</v>
      </c>
      <c r="H9" s="1">
        <v>80</v>
      </c>
      <c r="I9" s="46"/>
    </row>
    <row r="10" spans="1:10">
      <c r="A10" s="1" t="s">
        <v>4</v>
      </c>
      <c r="B10" s="1" t="s">
        <v>22</v>
      </c>
      <c r="C10" s="1">
        <v>1.5</v>
      </c>
      <c r="D10" s="1">
        <v>25</v>
      </c>
      <c r="E10" s="1">
        <v>6</v>
      </c>
      <c r="F10" s="1">
        <v>5</v>
      </c>
      <c r="G10" s="1">
        <f t="shared" ref="G10:G52" si="0">C10*9+D10*4+F10*4</f>
        <v>133.5</v>
      </c>
      <c r="H10" s="1">
        <v>135</v>
      </c>
      <c r="I10" s="47">
        <f>3/14</f>
        <v>0.21428571428571427</v>
      </c>
    </row>
    <row r="11" spans="1:10">
      <c r="A11" s="1" t="s">
        <v>78</v>
      </c>
      <c r="B11" s="1" t="s">
        <v>79</v>
      </c>
      <c r="C11" s="1">
        <v>0.34</v>
      </c>
      <c r="D11" s="1">
        <v>6</v>
      </c>
      <c r="E11" s="1">
        <v>2.4</v>
      </c>
      <c r="F11" s="1">
        <v>2.57</v>
      </c>
      <c r="G11" s="1">
        <f t="shared" si="0"/>
        <v>37.339999999999996</v>
      </c>
      <c r="H11" s="1">
        <v>30</v>
      </c>
      <c r="I11" s="46"/>
    </row>
    <row r="12" spans="1:10">
      <c r="A12" s="1" t="s">
        <v>23</v>
      </c>
      <c r="B12" s="1" t="s">
        <v>96</v>
      </c>
      <c r="C12" s="1">
        <v>5.4</v>
      </c>
      <c r="D12" s="1">
        <v>142.88999999999999</v>
      </c>
      <c r="E12" s="1">
        <v>6.5</v>
      </c>
      <c r="F12" s="1">
        <v>14.69</v>
      </c>
      <c r="G12" s="1">
        <f t="shared" si="0"/>
        <v>678.92</v>
      </c>
      <c r="H12" s="1">
        <v>10</v>
      </c>
      <c r="I12" s="47">
        <f>3/(916/185)</f>
        <v>0.60589519650655022</v>
      </c>
    </row>
    <row r="13" spans="1:10">
      <c r="A13" s="1" t="s">
        <v>18</v>
      </c>
      <c r="B13" s="43" t="s">
        <v>142</v>
      </c>
      <c r="C13" s="1">
        <v>0.24</v>
      </c>
      <c r="D13" s="1">
        <v>9.58</v>
      </c>
      <c r="E13" s="1">
        <v>2.8</v>
      </c>
      <c r="F13" s="1">
        <v>0.93</v>
      </c>
      <c r="G13" s="1">
        <f t="shared" si="0"/>
        <v>44.2</v>
      </c>
      <c r="H13" s="23">
        <v>42</v>
      </c>
      <c r="I13" s="46">
        <f>1.89/(908/100)</f>
        <v>0.2081497797356828</v>
      </c>
    </row>
    <row r="14" spans="1:10">
      <c r="A14" s="1" t="s">
        <v>98</v>
      </c>
      <c r="B14" s="1" t="s">
        <v>100</v>
      </c>
      <c r="C14" s="1">
        <v>28.5</v>
      </c>
      <c r="D14" s="1">
        <v>19.62</v>
      </c>
      <c r="E14" s="1">
        <v>2.1</v>
      </c>
      <c r="F14" s="1">
        <v>11.84</v>
      </c>
      <c r="G14" s="1">
        <f t="shared" si="0"/>
        <v>382.34000000000003</v>
      </c>
      <c r="H14" s="25">
        <v>6</v>
      </c>
      <c r="I14" s="46"/>
    </row>
    <row r="15" spans="1:10">
      <c r="A15" s="1" t="s">
        <v>99</v>
      </c>
      <c r="B15" s="1" t="s">
        <v>106</v>
      </c>
      <c r="C15" s="1">
        <v>0.17</v>
      </c>
      <c r="D15" s="1">
        <v>3</v>
      </c>
      <c r="E15" s="1">
        <v>1.6</v>
      </c>
      <c r="F15" s="1">
        <v>0.7</v>
      </c>
      <c r="G15" s="1">
        <f t="shared" si="0"/>
        <v>16.329999999999998</v>
      </c>
      <c r="H15" s="1">
        <v>81</v>
      </c>
      <c r="I15" s="46"/>
    </row>
    <row r="16" spans="1:10">
      <c r="A16" s="1" t="s">
        <v>115</v>
      </c>
      <c r="B16" s="1" t="s">
        <v>125</v>
      </c>
      <c r="C16" s="1">
        <v>8</v>
      </c>
      <c r="D16" s="1">
        <v>0</v>
      </c>
      <c r="E16" s="1">
        <v>0</v>
      </c>
      <c r="F16" s="1">
        <v>9</v>
      </c>
      <c r="G16" s="1">
        <f t="shared" si="0"/>
        <v>108</v>
      </c>
      <c r="I16" s="48">
        <f>2.99/8</f>
        <v>0.37375000000000003</v>
      </c>
    </row>
    <row r="17" spans="1:9">
      <c r="A17" s="1" t="s">
        <v>110</v>
      </c>
      <c r="B17" s="35" t="s">
        <v>111</v>
      </c>
      <c r="C17" s="1">
        <v>2</v>
      </c>
      <c r="D17" s="1">
        <v>20</v>
      </c>
      <c r="E17" s="1">
        <v>3</v>
      </c>
      <c r="F17" s="1">
        <v>3</v>
      </c>
      <c r="G17" s="1">
        <f t="shared" si="0"/>
        <v>110</v>
      </c>
      <c r="H17" s="25">
        <v>160</v>
      </c>
      <c r="I17" s="46">
        <f>4.35/18</f>
        <v>0.24166666666666664</v>
      </c>
    </row>
    <row r="18" spans="1:9">
      <c r="A18" s="1" t="s">
        <v>113</v>
      </c>
      <c r="B18" s="1" t="s">
        <v>123</v>
      </c>
      <c r="C18" s="1">
        <v>1.5</v>
      </c>
      <c r="D18" s="1">
        <v>0</v>
      </c>
      <c r="E18" s="1">
        <v>0</v>
      </c>
      <c r="F18" s="1">
        <v>23</v>
      </c>
      <c r="G18" s="1">
        <f t="shared" si="0"/>
        <v>105.5</v>
      </c>
      <c r="H18" s="25">
        <v>200</v>
      </c>
      <c r="I18" s="46">
        <f>4.99/5</f>
        <v>0.998</v>
      </c>
    </row>
    <row r="19" spans="1:9">
      <c r="A19" s="1" t="s">
        <v>9</v>
      </c>
      <c r="B19" s="1" t="s">
        <v>11</v>
      </c>
      <c r="C19" s="1">
        <v>0</v>
      </c>
      <c r="D19" s="1">
        <v>25</v>
      </c>
      <c r="E19" s="1">
        <v>0</v>
      </c>
      <c r="F19" s="1">
        <v>8</v>
      </c>
      <c r="G19" s="1">
        <f t="shared" si="0"/>
        <v>132</v>
      </c>
      <c r="H19" s="25">
        <v>240</v>
      </c>
      <c r="I19" s="46">
        <f>3.49/16</f>
        <v>0.21812500000000001</v>
      </c>
    </row>
    <row r="20" spans="1:9">
      <c r="A20" s="1" t="s">
        <v>93</v>
      </c>
      <c r="B20" s="1" t="s">
        <v>13</v>
      </c>
      <c r="C20" s="1">
        <v>0.11</v>
      </c>
      <c r="D20" s="1">
        <v>8.89</v>
      </c>
      <c r="E20" s="1">
        <v>1.1299999999999999</v>
      </c>
      <c r="F20" s="1">
        <v>0.63</v>
      </c>
      <c r="G20" s="1">
        <f t="shared" si="0"/>
        <v>39.070000000000007</v>
      </c>
      <c r="H20" s="25">
        <v>1</v>
      </c>
      <c r="I20" s="46"/>
    </row>
    <row r="21" spans="1:9">
      <c r="A21" s="1" t="s">
        <v>148</v>
      </c>
      <c r="B21" s="1" t="s">
        <v>150</v>
      </c>
      <c r="C21" s="1">
        <v>0</v>
      </c>
      <c r="D21" s="1">
        <v>10</v>
      </c>
      <c r="E21" s="1">
        <v>0</v>
      </c>
      <c r="F21" s="1">
        <v>0</v>
      </c>
      <c r="G21" s="1">
        <f t="shared" si="0"/>
        <v>40</v>
      </c>
      <c r="H21" s="33">
        <v>0</v>
      </c>
      <c r="I21" s="46">
        <f>8.97/(454*2/10)</f>
        <v>9.8788546255506621E-2</v>
      </c>
    </row>
    <row r="22" spans="1:9">
      <c r="A22" s="23" t="s">
        <v>1</v>
      </c>
      <c r="B22" s="23" t="s">
        <v>19</v>
      </c>
      <c r="C22" s="23">
        <v>4.5</v>
      </c>
      <c r="D22" s="23">
        <v>1</v>
      </c>
      <c r="E22" s="23">
        <v>0</v>
      </c>
      <c r="F22" s="23">
        <v>6</v>
      </c>
      <c r="G22" s="23">
        <f t="shared" si="0"/>
        <v>68.5</v>
      </c>
      <c r="H22" s="40">
        <v>71</v>
      </c>
      <c r="I22" s="46">
        <f>1.49/12</f>
        <v>0.12416666666666666</v>
      </c>
    </row>
    <row r="23" spans="1:9">
      <c r="A23" s="24" t="s">
        <v>91</v>
      </c>
      <c r="B23" s="24" t="s">
        <v>19</v>
      </c>
      <c r="C23" s="24">
        <v>0.06</v>
      </c>
      <c r="D23" s="24">
        <v>0.24</v>
      </c>
      <c r="E23" s="24">
        <v>0</v>
      </c>
      <c r="F23" s="24">
        <v>3.6</v>
      </c>
      <c r="G23" s="24">
        <f t="shared" si="0"/>
        <v>15.9</v>
      </c>
      <c r="H23" s="33">
        <v>55</v>
      </c>
      <c r="I23" s="46">
        <f>1.49/12</f>
        <v>0.12416666666666666</v>
      </c>
    </row>
    <row r="24" spans="1:9">
      <c r="A24" s="24" t="s">
        <v>122</v>
      </c>
      <c r="B24" s="24" t="s">
        <v>114</v>
      </c>
      <c r="C24" s="24">
        <f>1</f>
        <v>1</v>
      </c>
      <c r="D24" s="24">
        <f>25*(1/0.75)</f>
        <v>33.333333333333329</v>
      </c>
      <c r="E24" s="24">
        <f>10*(1/0.75)</f>
        <v>13.333333333333332</v>
      </c>
      <c r="F24" s="24">
        <f>1</f>
        <v>1</v>
      </c>
      <c r="G24" s="24">
        <f t="shared" si="0"/>
        <v>146.33333333333331</v>
      </c>
      <c r="H24" s="34">
        <f>140*(1/0.75)</f>
        <v>186.66666666666666</v>
      </c>
      <c r="I24" s="46"/>
    </row>
    <row r="25" spans="1:9">
      <c r="A25" s="24" t="s">
        <v>3</v>
      </c>
      <c r="B25" s="24" t="s">
        <v>12</v>
      </c>
      <c r="C25" s="24">
        <v>2</v>
      </c>
      <c r="D25" s="24">
        <v>17</v>
      </c>
      <c r="E25" s="24">
        <v>9</v>
      </c>
      <c r="F25" s="24">
        <v>1</v>
      </c>
      <c r="G25" s="24">
        <f t="shared" si="0"/>
        <v>90</v>
      </c>
      <c r="H25" s="40">
        <v>95</v>
      </c>
      <c r="I25" s="46">
        <f>3.43/6</f>
        <v>0.57166666666666666</v>
      </c>
    </row>
    <row r="26" spans="1:9">
      <c r="A26" s="24" t="s">
        <v>143</v>
      </c>
      <c r="B26" s="24" t="s">
        <v>111</v>
      </c>
      <c r="C26" s="24">
        <v>1</v>
      </c>
      <c r="D26" s="24">
        <v>25</v>
      </c>
      <c r="E26" s="24">
        <v>14.1</v>
      </c>
      <c r="F26" s="24">
        <v>2</v>
      </c>
      <c r="G26" s="24">
        <f t="shared" si="0"/>
        <v>117</v>
      </c>
      <c r="H26" s="55">
        <v>105</v>
      </c>
      <c r="I26" s="47">
        <f>2.5/12.5</f>
        <v>0.2</v>
      </c>
    </row>
    <row r="27" spans="1:9">
      <c r="A27" s="25" t="s">
        <v>20</v>
      </c>
      <c r="B27" s="25" t="s">
        <v>11</v>
      </c>
      <c r="C27" s="25">
        <v>1.5</v>
      </c>
      <c r="D27" s="25">
        <v>44</v>
      </c>
      <c r="E27" s="25">
        <v>13</v>
      </c>
      <c r="F27" s="25">
        <v>3</v>
      </c>
      <c r="G27" s="25">
        <f t="shared" si="0"/>
        <v>201.5</v>
      </c>
      <c r="H27" s="55">
        <v>230</v>
      </c>
      <c r="I27" s="46">
        <f>3.99/8</f>
        <v>0.49875000000000003</v>
      </c>
    </row>
    <row r="28" spans="1:9">
      <c r="A28" s="25" t="s">
        <v>118</v>
      </c>
      <c r="B28" s="25" t="s">
        <v>119</v>
      </c>
      <c r="C28" s="25">
        <v>0.28000000000000003</v>
      </c>
      <c r="D28" s="25">
        <v>21.65</v>
      </c>
      <c r="E28" s="25">
        <v>0</v>
      </c>
      <c r="F28" s="25">
        <v>0</v>
      </c>
      <c r="G28" s="25">
        <f t="shared" si="0"/>
        <v>89.11999999999999</v>
      </c>
      <c r="H28" s="55">
        <v>14.49</v>
      </c>
      <c r="I28" s="46">
        <f>(4.19/(35/1.5))</f>
        <v>0.1795714285714286</v>
      </c>
    </row>
    <row r="29" spans="1:9">
      <c r="A29" s="25" t="s">
        <v>108</v>
      </c>
      <c r="B29" s="25" t="s">
        <v>11</v>
      </c>
      <c r="C29" s="25">
        <v>0.32</v>
      </c>
      <c r="D29" s="25">
        <v>15.78</v>
      </c>
      <c r="E29" s="25">
        <v>0.8</v>
      </c>
      <c r="F29" s="25">
        <v>0.57999999999999996</v>
      </c>
      <c r="G29" s="25">
        <f t="shared" si="0"/>
        <v>68.319999999999993</v>
      </c>
      <c r="H29" s="40">
        <v>2</v>
      </c>
      <c r="I29" s="46"/>
    </row>
    <row r="30" spans="1:9">
      <c r="A30" s="25" t="s">
        <v>140</v>
      </c>
      <c r="B30" s="25" t="s">
        <v>139</v>
      </c>
      <c r="C30" s="25">
        <v>0</v>
      </c>
      <c r="D30" s="25">
        <v>4</v>
      </c>
      <c r="E30" s="25">
        <v>2</v>
      </c>
      <c r="F30" s="25">
        <v>1</v>
      </c>
      <c r="G30" s="25">
        <f t="shared" si="0"/>
        <v>20</v>
      </c>
      <c r="H30" s="55">
        <v>10</v>
      </c>
      <c r="I30" s="46">
        <f>0.59/3.5</f>
        <v>0.16857142857142857</v>
      </c>
    </row>
    <row r="31" spans="1:9">
      <c r="A31" s="25" t="s">
        <v>76</v>
      </c>
      <c r="B31" s="25" t="s">
        <v>13</v>
      </c>
      <c r="C31" s="25">
        <v>18</v>
      </c>
      <c r="D31" s="25">
        <v>46</v>
      </c>
      <c r="E31" s="25">
        <v>5.4</v>
      </c>
      <c r="F31" s="25">
        <v>9</v>
      </c>
      <c r="G31" s="25">
        <f t="shared" si="0"/>
        <v>382</v>
      </c>
      <c r="I31" s="46"/>
    </row>
    <row r="32" spans="1:9">
      <c r="A32" s="28" t="s">
        <v>137</v>
      </c>
      <c r="B32" s="28" t="s">
        <v>95</v>
      </c>
      <c r="C32" s="28">
        <v>0</v>
      </c>
      <c r="D32" s="28">
        <v>5</v>
      </c>
      <c r="E32" s="28">
        <v>0</v>
      </c>
      <c r="F32" s="28">
        <v>0</v>
      </c>
      <c r="G32" s="28">
        <f t="shared" si="0"/>
        <v>20</v>
      </c>
      <c r="H32" s="28">
        <v>15</v>
      </c>
      <c r="I32" s="46">
        <f>2/31</f>
        <v>6.4516129032258063E-2</v>
      </c>
    </row>
    <row r="33" spans="1:9">
      <c r="A33" s="28" t="s">
        <v>138</v>
      </c>
      <c r="B33" s="28" t="s">
        <v>95</v>
      </c>
      <c r="C33" s="28">
        <v>0</v>
      </c>
      <c r="D33" s="28">
        <v>4</v>
      </c>
      <c r="E33" s="28">
        <v>0</v>
      </c>
      <c r="F33" s="28">
        <v>0</v>
      </c>
      <c r="G33" s="28">
        <f t="shared" si="0"/>
        <v>16</v>
      </c>
      <c r="H33" s="28">
        <v>190</v>
      </c>
      <c r="I33" s="46">
        <f>2.39/60</f>
        <v>3.9833333333333339E-2</v>
      </c>
    </row>
    <row r="34" spans="1:9">
      <c r="A34" s="30" t="s">
        <v>2</v>
      </c>
      <c r="B34" s="30" t="s">
        <v>11</v>
      </c>
      <c r="C34" s="30">
        <v>2.04</v>
      </c>
      <c r="D34" s="30">
        <v>115.35</v>
      </c>
      <c r="E34" s="30">
        <v>58.6</v>
      </c>
      <c r="F34" s="30">
        <v>49.54</v>
      </c>
      <c r="G34" s="30">
        <f t="shared" si="0"/>
        <v>677.92</v>
      </c>
      <c r="H34" s="30">
        <v>4</v>
      </c>
      <c r="I34" s="47">
        <f>3/(916/192)</f>
        <v>0.62882096069868998</v>
      </c>
    </row>
    <row r="35" spans="1:9">
      <c r="A35" s="31" t="s">
        <v>149</v>
      </c>
      <c r="B35" s="43" t="s">
        <v>150</v>
      </c>
      <c r="C35" s="31">
        <v>0</v>
      </c>
      <c r="D35" s="31">
        <v>10</v>
      </c>
      <c r="E35" s="31">
        <v>0</v>
      </c>
      <c r="F35" s="31">
        <v>0</v>
      </c>
      <c r="G35" s="31">
        <f t="shared" si="0"/>
        <v>40</v>
      </c>
      <c r="H35" s="33">
        <v>0</v>
      </c>
      <c r="I35" s="46">
        <f>11.15/(454*2/10)</f>
        <v>0.12279735682819384</v>
      </c>
    </row>
    <row r="36" spans="1:9">
      <c r="A36" s="32" t="s">
        <v>94</v>
      </c>
      <c r="B36" s="32" t="s">
        <v>95</v>
      </c>
      <c r="C36" s="32">
        <v>8</v>
      </c>
      <c r="D36" s="32">
        <v>3</v>
      </c>
      <c r="E36" s="32">
        <v>1</v>
      </c>
      <c r="F36" s="32">
        <v>5</v>
      </c>
      <c r="G36" s="32">
        <f t="shared" si="0"/>
        <v>104</v>
      </c>
      <c r="H36" s="33">
        <v>3</v>
      </c>
      <c r="I36" s="46"/>
    </row>
    <row r="37" spans="1:9">
      <c r="A37" s="32" t="s">
        <v>0</v>
      </c>
      <c r="B37" s="32" t="s">
        <v>11</v>
      </c>
      <c r="C37" s="32">
        <v>5.28</v>
      </c>
      <c r="D37" s="32">
        <v>55</v>
      </c>
      <c r="E37" s="32">
        <v>8.1999999999999993</v>
      </c>
      <c r="F37" s="32">
        <v>10.65</v>
      </c>
      <c r="G37" s="32">
        <f t="shared" si="0"/>
        <v>310.12</v>
      </c>
      <c r="H37" s="33">
        <v>5</v>
      </c>
      <c r="I37" s="46">
        <f>2.49/13</f>
        <v>0.19153846153846155</v>
      </c>
    </row>
    <row r="38" spans="1:9">
      <c r="A38" s="33" t="s">
        <v>101</v>
      </c>
      <c r="B38" s="33" t="s">
        <v>95</v>
      </c>
      <c r="C38" s="33">
        <v>14</v>
      </c>
      <c r="D38" s="33">
        <v>0</v>
      </c>
      <c r="E38" s="33">
        <v>0</v>
      </c>
      <c r="F38" s="33">
        <v>0</v>
      </c>
      <c r="G38" s="33">
        <f t="shared" si="0"/>
        <v>126</v>
      </c>
      <c r="H38" s="33">
        <v>0</v>
      </c>
      <c r="I38" s="46"/>
    </row>
    <row r="39" spans="1:9">
      <c r="A39" s="34" t="s">
        <v>112</v>
      </c>
      <c r="B39" s="34" t="s">
        <v>142</v>
      </c>
      <c r="C39" s="34">
        <v>0.12</v>
      </c>
      <c r="D39" s="34">
        <v>13.12</v>
      </c>
      <c r="E39" s="34">
        <v>1.4</v>
      </c>
      <c r="F39" s="34">
        <v>0.54</v>
      </c>
      <c r="G39" s="34">
        <f t="shared" si="0"/>
        <v>55.72</v>
      </c>
      <c r="H39" s="34">
        <v>11</v>
      </c>
      <c r="I39" s="46"/>
    </row>
    <row r="40" spans="1:9">
      <c r="A40" s="34" t="s">
        <v>116</v>
      </c>
      <c r="B40" s="34" t="s">
        <v>114</v>
      </c>
      <c r="C40" s="34">
        <f>3.5/(8/3)</f>
        <v>1.3125</v>
      </c>
      <c r="D40" s="34">
        <f>20/(8/3)</f>
        <v>7.5</v>
      </c>
      <c r="E40" s="34">
        <f>4/(8/3)</f>
        <v>1.5</v>
      </c>
      <c r="F40" s="34">
        <f>3/(8/3)</f>
        <v>1.125</v>
      </c>
      <c r="G40" s="34">
        <f t="shared" si="0"/>
        <v>46.3125</v>
      </c>
      <c r="H40" s="34">
        <v>80</v>
      </c>
      <c r="I40" s="46"/>
    </row>
    <row r="41" spans="1:9">
      <c r="A41" s="35" t="s">
        <v>124</v>
      </c>
      <c r="B41" s="35" t="s">
        <v>125</v>
      </c>
      <c r="C41" s="35">
        <v>15</v>
      </c>
      <c r="D41" s="35">
        <v>4</v>
      </c>
      <c r="E41" s="35">
        <v>3</v>
      </c>
      <c r="F41" s="35">
        <v>9</v>
      </c>
      <c r="G41" s="35">
        <f t="shared" si="0"/>
        <v>187</v>
      </c>
      <c r="H41" s="35">
        <v>12</v>
      </c>
      <c r="I41" s="48">
        <f>(5.99/453)*30</f>
        <v>0.39668874172185431</v>
      </c>
    </row>
    <row r="42" spans="1:9">
      <c r="A42" s="35" t="s">
        <v>102</v>
      </c>
      <c r="B42" s="35" t="s">
        <v>103</v>
      </c>
      <c r="C42" s="35">
        <v>0</v>
      </c>
      <c r="D42" s="35">
        <v>0</v>
      </c>
      <c r="E42" s="35">
        <v>0</v>
      </c>
      <c r="F42" s="35">
        <v>0</v>
      </c>
      <c r="G42" s="35">
        <f t="shared" si="0"/>
        <v>0</v>
      </c>
      <c r="H42" s="35">
        <v>295</v>
      </c>
      <c r="I42" s="46"/>
    </row>
    <row r="43" spans="1:9">
      <c r="A43" s="39" t="s">
        <v>21</v>
      </c>
      <c r="B43" s="43" t="s">
        <v>11</v>
      </c>
      <c r="C43" s="39">
        <v>0.7</v>
      </c>
      <c r="D43" s="39">
        <v>12.3</v>
      </c>
      <c r="E43" s="39">
        <v>0</v>
      </c>
      <c r="F43" s="39">
        <v>8.6999999999999993</v>
      </c>
      <c r="G43" s="39">
        <f t="shared" si="0"/>
        <v>90.3</v>
      </c>
      <c r="H43" s="40">
        <v>127</v>
      </c>
      <c r="I43" s="64">
        <f>2.64/16</f>
        <v>0.16500000000000001</v>
      </c>
    </row>
    <row r="44" spans="1:9">
      <c r="A44" s="40" t="s">
        <v>131</v>
      </c>
      <c r="B44" s="40" t="s">
        <v>132</v>
      </c>
      <c r="C44" s="40">
        <v>1.5</v>
      </c>
      <c r="D44" s="40">
        <v>2</v>
      </c>
      <c r="E44" s="40">
        <v>0</v>
      </c>
      <c r="F44" s="40">
        <v>0</v>
      </c>
      <c r="G44" s="40">
        <f t="shared" si="0"/>
        <v>21.5</v>
      </c>
      <c r="H44" s="40">
        <v>0</v>
      </c>
      <c r="I44" s="46"/>
    </row>
    <row r="45" spans="1:9">
      <c r="A45" s="40" t="s">
        <v>147</v>
      </c>
      <c r="B45" s="55" t="s">
        <v>100</v>
      </c>
      <c r="C45" s="40">
        <v>0.5</v>
      </c>
      <c r="D45" s="40">
        <v>11</v>
      </c>
      <c r="E45" s="40">
        <v>2</v>
      </c>
      <c r="F45" s="40">
        <v>4</v>
      </c>
      <c r="G45" s="40">
        <f t="shared" si="0"/>
        <v>64.5</v>
      </c>
      <c r="H45" s="40">
        <v>390</v>
      </c>
      <c r="I45" s="46">
        <f>0.79/3.5</f>
        <v>0.22571428571428573</v>
      </c>
    </row>
    <row r="46" spans="1:9">
      <c r="A46" s="40" t="s">
        <v>10</v>
      </c>
      <c r="B46" s="40" t="s">
        <v>14</v>
      </c>
      <c r="C46" s="40">
        <v>2</v>
      </c>
      <c r="D46" s="40">
        <v>0</v>
      </c>
      <c r="E46" s="40">
        <v>0</v>
      </c>
      <c r="F46" s="40">
        <v>24</v>
      </c>
      <c r="G46" s="40">
        <f t="shared" si="0"/>
        <v>114</v>
      </c>
      <c r="H46" s="40">
        <v>100</v>
      </c>
      <c r="I46" s="46">
        <v>0.78</v>
      </c>
    </row>
    <row r="47" spans="1:9">
      <c r="A47" s="42" t="s">
        <v>120</v>
      </c>
      <c r="B47" s="42" t="s">
        <v>121</v>
      </c>
      <c r="C47" s="42">
        <v>0.7</v>
      </c>
      <c r="D47" s="42">
        <v>0</v>
      </c>
      <c r="E47" s="42">
        <v>0</v>
      </c>
      <c r="F47" s="42">
        <v>30.1</v>
      </c>
      <c r="G47" s="42">
        <f t="shared" si="0"/>
        <v>126.7</v>
      </c>
      <c r="H47" s="42">
        <v>52</v>
      </c>
      <c r="I47" s="46"/>
    </row>
    <row r="48" spans="1:9">
      <c r="A48" s="55" t="s">
        <v>109</v>
      </c>
      <c r="B48" s="55" t="s">
        <v>144</v>
      </c>
      <c r="C48" s="55">
        <v>0</v>
      </c>
      <c r="D48" s="55">
        <f>28*0.25</f>
        <v>7</v>
      </c>
      <c r="E48" s="55">
        <v>4</v>
      </c>
      <c r="F48" s="55">
        <v>12</v>
      </c>
      <c r="G48" s="55">
        <f t="shared" si="0"/>
        <v>76</v>
      </c>
      <c r="H48" s="55">
        <v>2</v>
      </c>
      <c r="I48" s="46">
        <f>2.89/11</f>
        <v>0.26272727272727275</v>
      </c>
    </row>
    <row r="49" spans="1:9">
      <c r="A49" s="55" t="s">
        <v>97</v>
      </c>
      <c r="B49" s="55" t="s">
        <v>107</v>
      </c>
      <c r="C49" s="55">
        <v>0.23</v>
      </c>
      <c r="D49" s="55">
        <v>11.48</v>
      </c>
      <c r="E49" s="55">
        <v>0.6</v>
      </c>
      <c r="F49" s="55">
        <v>0.93</v>
      </c>
      <c r="G49" s="55">
        <f t="shared" si="0"/>
        <v>51.71</v>
      </c>
      <c r="H49" s="55">
        <v>2</v>
      </c>
      <c r="I49" s="46"/>
    </row>
    <row r="50" spans="1:9">
      <c r="A50" s="55" t="s">
        <v>135</v>
      </c>
      <c r="B50" s="55" t="s">
        <v>146</v>
      </c>
      <c r="C50" s="55">
        <v>2.5</v>
      </c>
      <c r="D50" s="55">
        <v>3</v>
      </c>
      <c r="E50" s="55">
        <v>1</v>
      </c>
      <c r="F50" s="55">
        <v>23</v>
      </c>
      <c r="G50" s="55">
        <f t="shared" si="0"/>
        <v>126.5</v>
      </c>
      <c r="H50" s="55">
        <v>100</v>
      </c>
      <c r="I50" s="46">
        <f>19.91/31</f>
        <v>0.64225806451612899</v>
      </c>
    </row>
    <row r="51" spans="1:9">
      <c r="A51" s="59" t="s">
        <v>151</v>
      </c>
      <c r="B51" s="59" t="s">
        <v>100</v>
      </c>
      <c r="C51" s="59">
        <v>0</v>
      </c>
      <c r="D51" s="59">
        <v>4</v>
      </c>
      <c r="E51" s="59">
        <v>1</v>
      </c>
      <c r="F51" s="59">
        <v>2</v>
      </c>
      <c r="G51" s="59">
        <f t="shared" si="0"/>
        <v>24</v>
      </c>
      <c r="H51" s="59">
        <v>400</v>
      </c>
      <c r="I51" s="46">
        <f>0.79/3.5</f>
        <v>0.22571428571428573</v>
      </c>
    </row>
    <row r="52" spans="1:9">
      <c r="A52" s="59" t="s">
        <v>154</v>
      </c>
      <c r="B52" s="59" t="s">
        <v>142</v>
      </c>
      <c r="C52" s="59">
        <v>0.19</v>
      </c>
      <c r="D52" s="59">
        <v>8.16</v>
      </c>
      <c r="E52" s="59">
        <v>0.9</v>
      </c>
      <c r="F52" s="59">
        <v>0.84</v>
      </c>
      <c r="G52" s="59">
        <f t="shared" si="0"/>
        <v>37.71</v>
      </c>
      <c r="H52" s="59">
        <v>16</v>
      </c>
    </row>
  </sheetData>
  <sortState ref="A7:J54">
    <sortCondition ref="A54"/>
  </sortState>
  <mergeCells count="1">
    <mergeCell ref="A1:H4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C25" sqref="C25"/>
    </sheetView>
  </sheetViews>
  <sheetFormatPr defaultRowHeight="15"/>
  <cols>
    <col min="1" max="1" width="14.140625" customWidth="1"/>
    <col min="2" max="2" width="9.7109375" customWidth="1"/>
    <col min="3" max="3" width="11.5703125" bestFit="1" customWidth="1"/>
  </cols>
  <sheetData>
    <row r="1" spans="1:14" ht="15.75" thickBot="1">
      <c r="A1" s="3" t="s">
        <v>74</v>
      </c>
    </row>
    <row r="2" spans="1:14" ht="15.75" thickBot="1">
      <c r="A2" t="s">
        <v>46</v>
      </c>
      <c r="B2" s="1">
        <v>100</v>
      </c>
      <c r="C2" t="s">
        <v>47</v>
      </c>
      <c r="D2" s="1">
        <f>B2*2.2204</f>
        <v>222.04000000000002</v>
      </c>
      <c r="G2" s="83" t="s">
        <v>65</v>
      </c>
      <c r="H2" s="84"/>
      <c r="I2" s="84"/>
      <c r="J2" s="85"/>
      <c r="K2" s="68" t="s">
        <v>73</v>
      </c>
      <c r="L2" s="69"/>
      <c r="M2" s="69"/>
      <c r="N2" s="70"/>
    </row>
    <row r="3" spans="1:14">
      <c r="A3" s="3" t="s">
        <v>75</v>
      </c>
      <c r="G3" s="14"/>
      <c r="H3" s="15"/>
      <c r="I3" s="15"/>
      <c r="J3" s="16"/>
      <c r="K3" s="14"/>
      <c r="L3" s="15"/>
      <c r="M3" s="15"/>
      <c r="N3" s="16"/>
    </row>
    <row r="4" spans="1:14">
      <c r="A4" t="s">
        <v>49</v>
      </c>
      <c r="B4" s="1">
        <v>140</v>
      </c>
      <c r="C4" t="s">
        <v>50</v>
      </c>
      <c r="D4" s="1">
        <f>B4/2.54</f>
        <v>55.118110236220474</v>
      </c>
      <c r="G4" s="94" t="s">
        <v>24</v>
      </c>
      <c r="H4" s="95"/>
      <c r="I4" s="21">
        <f>C27</f>
        <v>2818.6037000000001</v>
      </c>
      <c r="J4" s="7"/>
      <c r="K4" s="71" t="s">
        <v>24</v>
      </c>
      <c r="L4" s="72"/>
      <c r="M4" s="22">
        <f>E27</f>
        <v>2427.8115000000003</v>
      </c>
      <c r="N4" s="7"/>
    </row>
    <row r="5" spans="1:14">
      <c r="A5" s="17" t="s">
        <v>51</v>
      </c>
      <c r="G5" s="91" t="s">
        <v>89</v>
      </c>
      <c r="H5" s="92"/>
      <c r="I5" s="21">
        <f>I4-500</f>
        <v>2318.6037000000001</v>
      </c>
      <c r="J5" s="7"/>
      <c r="K5" s="66" t="s">
        <v>89</v>
      </c>
      <c r="L5" s="67"/>
      <c r="M5" s="22">
        <f>M4-500</f>
        <v>1927.8115000000003</v>
      </c>
      <c r="N5" s="7"/>
    </row>
    <row r="6" spans="1:14">
      <c r="G6" s="5"/>
      <c r="H6" s="6"/>
      <c r="I6" s="6"/>
      <c r="J6" s="7"/>
      <c r="K6" s="5"/>
      <c r="L6" s="6"/>
      <c r="M6" s="6"/>
      <c r="N6" s="7"/>
    </row>
    <row r="7" spans="1:14">
      <c r="A7" s="3" t="s">
        <v>38</v>
      </c>
      <c r="B7" s="1">
        <v>159.80000000000001</v>
      </c>
      <c r="C7" s="4" t="s">
        <v>39</v>
      </c>
      <c r="G7" s="76" t="s">
        <v>72</v>
      </c>
      <c r="H7" s="77"/>
      <c r="I7" s="77"/>
      <c r="J7" s="90"/>
      <c r="K7" s="76" t="s">
        <v>72</v>
      </c>
      <c r="L7" s="77"/>
      <c r="M7" s="77"/>
      <c r="N7" s="78"/>
    </row>
    <row r="8" spans="1:14">
      <c r="A8" s="3" t="s">
        <v>42</v>
      </c>
      <c r="B8" s="1" t="s">
        <v>48</v>
      </c>
      <c r="G8" s="5"/>
      <c r="H8" s="8">
        <v>0.1</v>
      </c>
      <c r="I8" s="9"/>
      <c r="J8" s="10">
        <v>0.2</v>
      </c>
      <c r="K8" s="5"/>
      <c r="L8" s="8">
        <v>0.1</v>
      </c>
      <c r="M8" s="9"/>
      <c r="N8" s="10">
        <v>0.2</v>
      </c>
    </row>
    <row r="9" spans="1:14">
      <c r="A9" t="s">
        <v>40</v>
      </c>
      <c r="B9" s="1">
        <v>5</v>
      </c>
      <c r="G9" s="18" t="s">
        <v>66</v>
      </c>
      <c r="H9" s="9">
        <f>0.1*I5</f>
        <v>231.86037000000002</v>
      </c>
      <c r="I9" s="19" t="s">
        <v>67</v>
      </c>
      <c r="J9" s="13">
        <f>H9*2</f>
        <v>463.72074000000003</v>
      </c>
      <c r="K9" s="18" t="s">
        <v>66</v>
      </c>
      <c r="L9" s="9">
        <f>0.1*M5</f>
        <v>192.78115000000003</v>
      </c>
      <c r="M9" s="19" t="s">
        <v>67</v>
      </c>
      <c r="N9" s="13">
        <f>L9*2</f>
        <v>385.56230000000005</v>
      </c>
    </row>
    <row r="10" spans="1:14">
      <c r="A10" t="s">
        <v>41</v>
      </c>
      <c r="B10" s="1">
        <v>9</v>
      </c>
      <c r="G10" s="11"/>
      <c r="H10" s="9"/>
      <c r="I10" s="12"/>
      <c r="J10" s="13"/>
      <c r="K10" s="11"/>
      <c r="L10" s="9"/>
      <c r="M10" s="12"/>
      <c r="N10" s="13"/>
    </row>
    <row r="11" spans="1:14">
      <c r="A11" s="3" t="s">
        <v>43</v>
      </c>
      <c r="B11" s="1">
        <v>23</v>
      </c>
      <c r="G11" s="79" t="s">
        <v>71</v>
      </c>
      <c r="H11" s="88"/>
      <c r="I11" s="88"/>
      <c r="J11" s="89"/>
      <c r="K11" s="79" t="s">
        <v>71</v>
      </c>
      <c r="L11" s="77"/>
      <c r="M11" s="77"/>
      <c r="N11" s="78"/>
    </row>
    <row r="12" spans="1:14">
      <c r="A12" s="3"/>
      <c r="B12" s="1"/>
      <c r="G12" s="5"/>
      <c r="H12" s="8">
        <v>0.1</v>
      </c>
      <c r="I12" s="9"/>
      <c r="J12" s="10">
        <v>0.2</v>
      </c>
      <c r="K12" s="20"/>
      <c r="L12" s="8">
        <v>0.1</v>
      </c>
      <c r="M12" s="9"/>
      <c r="N12" s="10">
        <v>0.2</v>
      </c>
    </row>
    <row r="13" spans="1:14">
      <c r="B13" s="93" t="s">
        <v>52</v>
      </c>
      <c r="C13" s="93"/>
      <c r="D13" s="93"/>
      <c r="E13" s="93"/>
      <c r="G13" s="18" t="s">
        <v>66</v>
      </c>
      <c r="H13" s="9">
        <f>H9/9</f>
        <v>25.762263333333337</v>
      </c>
      <c r="I13" s="19" t="s">
        <v>67</v>
      </c>
      <c r="J13" s="13">
        <f>J9/9</f>
        <v>51.524526666666674</v>
      </c>
      <c r="K13" s="18" t="s">
        <v>66</v>
      </c>
      <c r="L13" s="9">
        <f>L9/9</f>
        <v>21.420127777777779</v>
      </c>
      <c r="M13" s="19" t="s">
        <v>67</v>
      </c>
      <c r="N13" s="13">
        <f>N9/9</f>
        <v>42.840255555555558</v>
      </c>
    </row>
    <row r="14" spans="1:14">
      <c r="B14" s="3" t="s">
        <v>44</v>
      </c>
      <c r="C14">
        <f>655+(6.23*B7)+4.7*(B9*12+B10)-(6.8*B11)</f>
        <v>1818.454</v>
      </c>
      <c r="D14" s="3" t="s">
        <v>45</v>
      </c>
      <c r="E14">
        <f>655+(4.35*B7)+4.7*(B9*12+B10)-(4.7*B11)</f>
        <v>1566.3300000000002</v>
      </c>
      <c r="G14" s="5"/>
      <c r="H14" s="6"/>
      <c r="I14" s="6"/>
      <c r="J14" s="7"/>
      <c r="K14" s="5"/>
      <c r="L14" s="6"/>
      <c r="M14" s="6"/>
      <c r="N14" s="7"/>
    </row>
    <row r="15" spans="1:14">
      <c r="C15" t="e">
        <f>655+(6.23*B13)+4.7*(69)-(6.8*23)</f>
        <v>#VALUE!</v>
      </c>
      <c r="G15" s="80" t="s">
        <v>69</v>
      </c>
      <c r="H15" s="81"/>
      <c r="I15" s="81"/>
      <c r="J15" s="96"/>
      <c r="K15" s="80" t="s">
        <v>69</v>
      </c>
      <c r="L15" s="81"/>
      <c r="M15" s="81"/>
      <c r="N15" s="78"/>
    </row>
    <row r="16" spans="1:14">
      <c r="A16" s="100" t="s">
        <v>60</v>
      </c>
      <c r="B16" s="101"/>
      <c r="G16" s="5"/>
      <c r="H16" s="8">
        <v>0.25</v>
      </c>
      <c r="I16" s="9"/>
      <c r="J16" s="10">
        <v>0.3</v>
      </c>
      <c r="K16" s="5"/>
      <c r="L16" s="8">
        <v>0.25</v>
      </c>
      <c r="M16" s="9"/>
      <c r="N16" s="10">
        <v>0.3</v>
      </c>
    </row>
    <row r="17" spans="1:14">
      <c r="A17" s="98" t="s">
        <v>53</v>
      </c>
      <c r="B17" s="98"/>
      <c r="C17" s="2" t="s">
        <v>54</v>
      </c>
      <c r="G17" s="18" t="s">
        <v>66</v>
      </c>
      <c r="H17" s="9">
        <f>0.25*I5</f>
        <v>579.65092500000003</v>
      </c>
      <c r="I17" s="19" t="s">
        <v>67</v>
      </c>
      <c r="J17" s="13">
        <f>H17*(30/25)</f>
        <v>695.58110999999997</v>
      </c>
      <c r="K17" s="18" t="s">
        <v>66</v>
      </c>
      <c r="L17" s="9">
        <f>0.25*M5</f>
        <v>481.95287500000006</v>
      </c>
      <c r="M17" s="19" t="s">
        <v>67</v>
      </c>
      <c r="N17" s="13">
        <f>L17*2</f>
        <v>963.90575000000013</v>
      </c>
    </row>
    <row r="18" spans="1:14">
      <c r="A18" s="97" t="s">
        <v>55</v>
      </c>
      <c r="B18" s="97"/>
      <c r="C18" s="1">
        <v>1.2</v>
      </c>
      <c r="G18" s="11"/>
      <c r="H18" s="9"/>
      <c r="I18" s="12"/>
      <c r="J18" s="13"/>
      <c r="K18" s="11"/>
      <c r="L18" s="9"/>
      <c r="M18" s="12"/>
      <c r="N18" s="13"/>
    </row>
    <row r="19" spans="1:14">
      <c r="A19" s="97" t="s">
        <v>56</v>
      </c>
      <c r="B19" s="97"/>
      <c r="C19" s="1">
        <v>1.375</v>
      </c>
      <c r="G19" s="82" t="s">
        <v>70</v>
      </c>
      <c r="H19" s="102"/>
      <c r="I19" s="102"/>
      <c r="J19" s="103"/>
      <c r="K19" s="82" t="s">
        <v>70</v>
      </c>
      <c r="L19" s="81"/>
      <c r="M19" s="81"/>
      <c r="N19" s="78"/>
    </row>
    <row r="20" spans="1:14">
      <c r="A20" s="97" t="s">
        <v>57</v>
      </c>
      <c r="B20" s="97"/>
      <c r="C20" s="1">
        <v>1.55</v>
      </c>
      <c r="G20" s="5"/>
      <c r="H20" s="8">
        <v>0.25</v>
      </c>
      <c r="I20" s="9"/>
      <c r="J20" s="10">
        <v>0.3</v>
      </c>
      <c r="K20" s="5"/>
      <c r="L20" s="8">
        <v>0.25</v>
      </c>
      <c r="M20" s="9"/>
      <c r="N20" s="10">
        <v>0.3</v>
      </c>
    </row>
    <row r="21" spans="1:14">
      <c r="A21" s="97" t="s">
        <v>58</v>
      </c>
      <c r="B21" s="97"/>
      <c r="C21" s="1">
        <v>1.7250000000000001</v>
      </c>
      <c r="G21" s="18" t="s">
        <v>66</v>
      </c>
      <c r="H21" s="9">
        <f>H17/4</f>
        <v>144.91273125000001</v>
      </c>
      <c r="I21" s="19" t="s">
        <v>67</v>
      </c>
      <c r="J21" s="13">
        <f>J17/4</f>
        <v>173.89527749999999</v>
      </c>
      <c r="K21" s="18" t="s">
        <v>66</v>
      </c>
      <c r="L21" s="9">
        <f>L17/4</f>
        <v>120.48821875000002</v>
      </c>
      <c r="M21" s="19" t="s">
        <v>67</v>
      </c>
      <c r="N21" s="13">
        <f>N17/9</f>
        <v>107.10063888888891</v>
      </c>
    </row>
    <row r="22" spans="1:14">
      <c r="A22" s="97" t="s">
        <v>59</v>
      </c>
      <c r="B22" s="97"/>
      <c r="C22" s="1">
        <v>1.9</v>
      </c>
      <c r="G22" s="5"/>
      <c r="H22" s="6"/>
      <c r="I22" s="6"/>
      <c r="J22" s="7"/>
      <c r="K22" s="5"/>
      <c r="L22" s="6"/>
      <c r="M22" s="6"/>
      <c r="N22" s="7"/>
    </row>
    <row r="23" spans="1:14" ht="15.75" thickBot="1">
      <c r="G23" s="73" t="s">
        <v>68</v>
      </c>
      <c r="H23" s="86"/>
      <c r="I23" s="86"/>
      <c r="J23" s="87"/>
      <c r="K23" s="73" t="s">
        <v>68</v>
      </c>
      <c r="L23" s="74"/>
      <c r="M23" s="74"/>
      <c r="N23" s="75"/>
    </row>
    <row r="24" spans="1:14">
      <c r="A24" s="99" t="s">
        <v>61</v>
      </c>
      <c r="B24" s="99"/>
      <c r="C24" s="1">
        <v>1.55</v>
      </c>
    </row>
    <row r="26" spans="1:14">
      <c r="B26" s="93" t="s">
        <v>64</v>
      </c>
      <c r="C26" s="93"/>
      <c r="D26" s="93"/>
      <c r="E26" s="93"/>
    </row>
    <row r="27" spans="1:14">
      <c r="B27" s="3" t="s">
        <v>62</v>
      </c>
      <c r="C27">
        <f>C14*C24</f>
        <v>2818.6037000000001</v>
      </c>
      <c r="D27" s="3" t="s">
        <v>63</v>
      </c>
      <c r="E27">
        <f>E14*C24</f>
        <v>2427.8115000000003</v>
      </c>
    </row>
  </sheetData>
  <mergeCells count="26">
    <mergeCell ref="B26:E26"/>
    <mergeCell ref="G4:H4"/>
    <mergeCell ref="G15:J15"/>
    <mergeCell ref="B13:E13"/>
    <mergeCell ref="A18:B18"/>
    <mergeCell ref="A19:B19"/>
    <mergeCell ref="A20:B20"/>
    <mergeCell ref="A21:B21"/>
    <mergeCell ref="A22:B22"/>
    <mergeCell ref="A17:B17"/>
    <mergeCell ref="A24:B24"/>
    <mergeCell ref="A16:B16"/>
    <mergeCell ref="G19:J19"/>
    <mergeCell ref="G2:J2"/>
    <mergeCell ref="G23:J23"/>
    <mergeCell ref="G11:J11"/>
    <mergeCell ref="G7:J7"/>
    <mergeCell ref="G5:H5"/>
    <mergeCell ref="K5:L5"/>
    <mergeCell ref="K2:N2"/>
    <mergeCell ref="K4:L4"/>
    <mergeCell ref="K23:N23"/>
    <mergeCell ref="K7:N7"/>
    <mergeCell ref="K11:N11"/>
    <mergeCell ref="K15:N15"/>
    <mergeCell ref="K19:N19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8.14.11</vt:lpstr>
      <vt:lpstr>Charting</vt:lpstr>
      <vt:lpstr>FoodList</vt:lpstr>
      <vt:lpstr>BMR Guidelines</vt:lpstr>
      <vt:lpstr>FoodList</vt:lpstr>
      <vt:lpstr>FoodList1</vt:lpstr>
      <vt:lpstr>FoodList2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joelie</dc:creator>
  <cp:lastModifiedBy>joelie</cp:lastModifiedBy>
  <dcterms:created xsi:type="dcterms:W3CDTF">2011-03-17T03:36:41Z</dcterms:created>
  <dcterms:modified xsi:type="dcterms:W3CDTF">2011-08-15T13:42:26Z</dcterms:modified>
</cp:coreProperties>
</file>